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20" windowHeight="13035" activeTab="0"/>
  </bookViews>
  <sheets>
    <sheet name="Mortality" sheetId="1" r:id="rId1"/>
  </sheets>
  <externalReferences>
    <externalReference r:id="rId4"/>
    <externalReference r:id="rId5"/>
    <externalReference r:id="rId6"/>
    <externalReference r:id="rId7"/>
    <externalReference r:id="rId8"/>
  </externalReferences>
  <definedNames>
    <definedName name="Cannabis_use__unless_otherwise_noted__amongst_young_people__ordered_alphabetically_by_regions">'[5]Cannabis'!$A$1</definedName>
    <definedName name="data_range">'[3]Sheet1'!$A$4:$O$235</definedName>
    <definedName name="OpioidsResults">'[4]RESULTS OPIOIDS'!$E$32:$AG$560</definedName>
    <definedName name="Pop">'[1]LookupTables'!$O$5:$Q$251</definedName>
    <definedName name="_xlnm.Print_Area" localSheetId="0">'Mortality'!$B$1:$Q$126</definedName>
    <definedName name="_xlnm.Print_Titles" localSheetId="0">'Mortality'!$1:$5</definedName>
    <definedName name="Query3">#REF!</definedName>
    <definedName name="Query5">#REF!</definedName>
    <definedName name="WestEurope">'[1]Europe'!#REF!</definedName>
  </definedNames>
  <calcPr fullCalcOnLoad="1"/>
</workbook>
</file>

<file path=xl/sharedStrings.xml><?xml version="1.0" encoding="utf-8"?>
<sst xmlns="http://schemas.openxmlformats.org/spreadsheetml/2006/main" count="292" uniqueCount="137">
  <si>
    <t>Drug-related mortality with ranking of drugs as primary cause of death (2010 or latest year available)</t>
  </si>
  <si>
    <t>Region / Country</t>
  </si>
  <si>
    <t>Source</t>
  </si>
  <si>
    <t>Year of estimate</t>
  </si>
  <si>
    <t>National estimate (Y / N)</t>
  </si>
  <si>
    <t>Number of deaths</t>
  </si>
  <si>
    <t>Reference population *</t>
  </si>
  <si>
    <t>Rate per million aged 15-64</t>
  </si>
  <si>
    <t>Ranking of drugs as primary cause of death</t>
  </si>
  <si>
    <t>Fatal drug overdoses (%)</t>
  </si>
  <si>
    <t>Cannabis</t>
  </si>
  <si>
    <t>Opioids</t>
  </si>
  <si>
    <t>Cocaine</t>
  </si>
  <si>
    <t>Amphetamine-type stimulants</t>
  </si>
  <si>
    <t>Tranquilizers and sedatives</t>
  </si>
  <si>
    <t>Hallucinogens</t>
  </si>
  <si>
    <t>Solvents and inhalants</t>
  </si>
  <si>
    <t>AMERICAS</t>
  </si>
  <si>
    <t>North America</t>
  </si>
  <si>
    <t>Canada</t>
  </si>
  <si>
    <t>ARQ</t>
  </si>
  <si>
    <t>ü</t>
  </si>
  <si>
    <t>Mexico</t>
  </si>
  <si>
    <t>United States of America</t>
  </si>
  <si>
    <t>Caribbean</t>
  </si>
  <si>
    <t>Bahamas</t>
  </si>
  <si>
    <t>Dominican Republic</t>
  </si>
  <si>
    <t>û</t>
  </si>
  <si>
    <t>Trinidad and Tobago</t>
  </si>
  <si>
    <t>Central America</t>
  </si>
  <si>
    <t>Costa Rica</t>
  </si>
  <si>
    <t>El Salvador</t>
  </si>
  <si>
    <t>CICAD</t>
  </si>
  <si>
    <t>Nicaragua</t>
  </si>
  <si>
    <t xml:space="preserve">CICAD </t>
  </si>
  <si>
    <t>Panama</t>
  </si>
  <si>
    <t>South America</t>
  </si>
  <si>
    <t>Argentina</t>
  </si>
  <si>
    <t>CICAD/ARQ</t>
  </si>
  <si>
    <t>Brazil</t>
  </si>
  <si>
    <t>Uruguay</t>
  </si>
  <si>
    <t>Venezuela (Bolivarian Republic of)</t>
  </si>
  <si>
    <t>South America, Central America, Caribbean</t>
  </si>
  <si>
    <t>AFRICA</t>
  </si>
  <si>
    <t>East Africa</t>
  </si>
  <si>
    <t>Seychelles</t>
  </si>
  <si>
    <t>Southern Africa</t>
  </si>
  <si>
    <t>South Africa</t>
  </si>
  <si>
    <t>ASIA</t>
  </si>
  <si>
    <t>East and South-East Asia</t>
  </si>
  <si>
    <t>China, Hong Kong SAR</t>
  </si>
  <si>
    <t>Indonesia</t>
  </si>
  <si>
    <t>Japan</t>
  </si>
  <si>
    <t>Malaysia</t>
  </si>
  <si>
    <t>Myanmar</t>
  </si>
  <si>
    <t>Viet Nam</t>
  </si>
  <si>
    <t>Near and Middle East /South-West Asia</t>
  </si>
  <si>
    <t>Afghanistan</t>
  </si>
  <si>
    <t>Bahrain</t>
  </si>
  <si>
    <t>Iran (Islamic Republic of)</t>
  </si>
  <si>
    <t>Israel</t>
  </si>
  <si>
    <t>Jordan</t>
  </si>
  <si>
    <t>Kuwait</t>
  </si>
  <si>
    <t>Oman</t>
  </si>
  <si>
    <t>Pakistan</t>
  </si>
  <si>
    <t>Qatar</t>
  </si>
  <si>
    <t>Syrian Arab Republic</t>
  </si>
  <si>
    <t>United Arab Emirates</t>
  </si>
  <si>
    <t>Central Asia and Transcaucasian countries</t>
  </si>
  <si>
    <t>Azerbaijan</t>
  </si>
  <si>
    <t>Georgia</t>
  </si>
  <si>
    <t>Kazakhstan</t>
  </si>
  <si>
    <t>Kyrgyzstan</t>
  </si>
  <si>
    <t>Tajikistan</t>
  </si>
  <si>
    <t>Uzbekistan</t>
  </si>
  <si>
    <t>South Asia</t>
  </si>
  <si>
    <t>Bhutan</t>
  </si>
  <si>
    <t>India</t>
  </si>
  <si>
    <t>Asia</t>
  </si>
  <si>
    <t>OCEANIA</t>
  </si>
  <si>
    <t>Australia</t>
  </si>
  <si>
    <t>EUROPE</t>
  </si>
  <si>
    <t>West &amp; Central Europe</t>
  </si>
  <si>
    <t>Austria</t>
  </si>
  <si>
    <t>Belgium</t>
  </si>
  <si>
    <t>EMCDDA/ARQ</t>
  </si>
  <si>
    <t>Cyprus</t>
  </si>
  <si>
    <t>Czech Republic</t>
  </si>
  <si>
    <t>Denmark</t>
  </si>
  <si>
    <t>Estonia</t>
  </si>
  <si>
    <t>Finland</t>
  </si>
  <si>
    <t>France</t>
  </si>
  <si>
    <t>Germany</t>
  </si>
  <si>
    <t>Gov.</t>
  </si>
  <si>
    <t>Gibraltar</t>
  </si>
  <si>
    <t>Greece</t>
  </si>
  <si>
    <t>Hungary</t>
  </si>
  <si>
    <t>Iceland</t>
  </si>
  <si>
    <t>Ireland</t>
  </si>
  <si>
    <t>Italy</t>
  </si>
  <si>
    <t>Latvia</t>
  </si>
  <si>
    <t>Liechtenstein</t>
  </si>
  <si>
    <t>Lithuania</t>
  </si>
  <si>
    <t>Luxembourg</t>
  </si>
  <si>
    <t>Malta</t>
  </si>
  <si>
    <t>Monaco</t>
  </si>
  <si>
    <t>Netherlands</t>
  </si>
  <si>
    <t>Norway</t>
  </si>
  <si>
    <t>Poland</t>
  </si>
  <si>
    <t>Portugal</t>
  </si>
  <si>
    <t>Slovakia</t>
  </si>
  <si>
    <t>Slovenia</t>
  </si>
  <si>
    <t>Spain</t>
  </si>
  <si>
    <t>Sweden</t>
  </si>
  <si>
    <t>Switzerland</t>
  </si>
  <si>
    <t>United Kingdom</t>
  </si>
  <si>
    <t>Southeast Europe</t>
  </si>
  <si>
    <t>Albania</t>
  </si>
  <si>
    <t>Bosnia and Herzegovina</t>
  </si>
  <si>
    <t>Bulgaria</t>
  </si>
  <si>
    <t>Croatia</t>
  </si>
  <si>
    <t>Macedonia (TFYR)</t>
  </si>
  <si>
    <t>Romania</t>
  </si>
  <si>
    <t>Serbia</t>
  </si>
  <si>
    <t>Turkey</t>
  </si>
  <si>
    <t>EMCDDA</t>
  </si>
  <si>
    <t>East Europe</t>
  </si>
  <si>
    <t>Belarus</t>
  </si>
  <si>
    <t>Moldova (Republic of)</t>
  </si>
  <si>
    <t>Russian Federation</t>
  </si>
  <si>
    <t>Ukraine</t>
  </si>
  <si>
    <t>Europe</t>
  </si>
  <si>
    <t>Sources: UNODC Annual Reports Questionnaire (ARQ); Inter-American Drug Abuse Control Commission (CICAD); European Monitoring Centre for Drugs and Drug Addiction (EMCDDA)</t>
  </si>
  <si>
    <t>Notes</t>
  </si>
  <si>
    <t>*    Reference population refers to the population aged 15-64 for national estimates or the reference population as specified in the ARQ for partial country estimates or sub-populations</t>
  </si>
  <si>
    <t>Switzerland:             Total drug-related deaths reported excludes two Cantons - estimated by Member State to be 10 cases (included in the calculation of the mortality rate)</t>
  </si>
  <si>
    <t>Belarus:                    Deaths among drug users registered on the Narcological Register</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</si>
</sst>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
    <numFmt numFmtId="176" formatCode="_-* #,##0.0_-;\-* #,##0.0_-;_-* &quot;-&quot;?_-;_-@_-"/>
    <numFmt numFmtId="177" formatCode="_([$€-2]* #,##0.00_);_([$€-2]* \(#,##0.00\);_([$€-2]* &quot;-&quot;??_)"/>
    <numFmt numFmtId="178" formatCode="_-* #,##0.00\ _E_s_c_._-;\-* #,##0.00\ _E_s_c_._-;_-* &quot;-&quot;??\ _E_s_c_._-;_-@_-"/>
    <numFmt numFmtId="179" formatCode="_(* #,##0.0%_);_(* \(#,##0.0%_);_(* &quot;-&quot;_);_(@_)"/>
    <numFmt numFmtId="180" formatCode="_(* #,##0.00%_);_(* \(#,##0.00%_);_(* &quot;-&quot;_);_(@_)"/>
  </numFmts>
  <fonts count="36">
    <font>
      <sz val="12"/>
      <name val="Times New Roman"/>
      <family val="0"/>
    </font>
    <font>
      <sz val="11"/>
      <color indexed="8"/>
      <name val="Calibri"/>
      <family val="2"/>
    </font>
    <font>
      <sz val="11"/>
      <color indexed="9"/>
      <name val="Calibri"/>
      <family val="2"/>
    </font>
    <font>
      <sz val="11"/>
      <color indexed="20"/>
      <name val="Calibri"/>
      <family val="2"/>
    </font>
    <font>
      <sz val="11"/>
      <color indexed="32"/>
      <name val="Calibri"/>
      <family val="2"/>
    </font>
    <font>
      <b/>
      <sz val="11"/>
      <color indexed="52"/>
      <name val="Calibri"/>
      <family val="2"/>
    </font>
    <font>
      <b/>
      <sz val="11"/>
      <color indexed="9"/>
      <name val="Calibri"/>
      <family val="2"/>
    </font>
    <font>
      <sz val="10"/>
      <name val="Arial"/>
      <family val="0"/>
    </font>
    <font>
      <i/>
      <sz val="11"/>
      <color indexed="23"/>
      <name val="Calibri"/>
      <family val="2"/>
    </font>
    <font>
      <u val="single"/>
      <sz val="12"/>
      <color indexed="36"/>
      <name val="Times New Roman"/>
      <family val="0"/>
    </font>
    <font>
      <sz val="11"/>
      <color indexed="17"/>
      <name val="Calibri"/>
      <family val="2"/>
    </font>
    <font>
      <b/>
      <sz val="15"/>
      <color indexed="56"/>
      <name val="Calibri"/>
      <family val="2"/>
    </font>
    <font>
      <b/>
      <sz val="15"/>
      <color indexed="27"/>
      <name val="Calibri"/>
      <family val="2"/>
    </font>
    <font>
      <b/>
      <sz val="13"/>
      <color indexed="56"/>
      <name val="Calibri"/>
      <family val="2"/>
    </font>
    <font>
      <b/>
      <sz val="13"/>
      <color indexed="27"/>
      <name val="Calibri"/>
      <family val="2"/>
    </font>
    <font>
      <b/>
      <sz val="11"/>
      <color indexed="56"/>
      <name val="Calibri"/>
      <family val="2"/>
    </font>
    <font>
      <b/>
      <sz val="11"/>
      <color indexed="27"/>
      <name val="Calibri"/>
      <family val="2"/>
    </font>
    <font>
      <u val="single"/>
      <sz val="12"/>
      <color indexed="12"/>
      <name val="Times New Roman"/>
      <family val="0"/>
    </font>
    <font>
      <sz val="11"/>
      <color indexed="62"/>
      <name val="Calibri"/>
      <family val="2"/>
    </font>
    <font>
      <sz val="11"/>
      <color indexed="52"/>
      <name val="Calibri"/>
      <family val="2"/>
    </font>
    <font>
      <sz val="11"/>
      <color indexed="60"/>
      <name val="Calibri"/>
      <family val="2"/>
    </font>
    <font>
      <sz val="9"/>
      <name val="Arial"/>
      <family val="2"/>
    </font>
    <font>
      <sz val="8"/>
      <name val="Times New Roman"/>
      <family val="1"/>
    </font>
    <font>
      <b/>
      <sz val="11"/>
      <color indexed="63"/>
      <name val="Calibri"/>
      <family val="2"/>
    </font>
    <font>
      <b/>
      <sz val="18"/>
      <color indexed="56"/>
      <name val="Cambria"/>
      <family val="2"/>
    </font>
    <font>
      <b/>
      <sz val="18"/>
      <color indexed="27"/>
      <name val="Cambria"/>
      <family val="2"/>
    </font>
    <font>
      <b/>
      <sz val="11"/>
      <color indexed="8"/>
      <name val="Calibri"/>
      <family val="2"/>
    </font>
    <font>
      <sz val="11"/>
      <color indexed="10"/>
      <name val="Calibri"/>
      <family val="2"/>
    </font>
    <font>
      <b/>
      <sz val="16"/>
      <name val="Times New Roman"/>
      <family val="1"/>
    </font>
    <font>
      <sz val="16"/>
      <name val="Times New Roman"/>
      <family val="1"/>
    </font>
    <font>
      <sz val="16"/>
      <name val="Wingdings"/>
      <family val="0"/>
    </font>
    <font>
      <b/>
      <sz val="16"/>
      <color indexed="9"/>
      <name val="Frutiger 45"/>
      <family val="2"/>
    </font>
    <font>
      <b/>
      <sz val="10"/>
      <color indexed="9"/>
      <name val="Frutiger 45"/>
      <family val="2"/>
    </font>
    <font>
      <b/>
      <sz val="16"/>
      <name val="Frutiger 45"/>
      <family val="2"/>
    </font>
    <font>
      <sz val="16"/>
      <name val="Frutiger 45"/>
      <family val="2"/>
    </font>
    <font>
      <i/>
      <sz val="16"/>
      <name val="Frutiger 45"/>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39"/>
        <bgColor indexed="64"/>
      </patternFill>
    </fill>
    <fill>
      <patternFill patternType="solid">
        <fgColor indexed="42"/>
        <bgColor indexed="64"/>
      </patternFill>
    </fill>
    <fill>
      <patternFill patternType="solid">
        <fgColor indexed="46"/>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30"/>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28"/>
        <bgColor indexed="64"/>
      </patternFill>
    </fill>
    <fill>
      <patternFill patternType="solid">
        <fgColor indexed="10"/>
        <bgColor indexed="64"/>
      </patternFill>
    </fill>
    <fill>
      <patternFill patternType="solid">
        <fgColor indexed="33"/>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4"/>
        <bgColor indexed="64"/>
      </patternFill>
    </fill>
    <fill>
      <patternFill patternType="solid">
        <fgColor indexed="32"/>
        <bgColor indexed="64"/>
      </patternFill>
    </fill>
    <fill>
      <patternFill patternType="solid">
        <fgColor indexed="14"/>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8"/>
      </bottom>
    </border>
    <border>
      <left>
        <color indexed="63"/>
      </left>
      <right>
        <color indexed="63"/>
      </right>
      <top>
        <color indexed="63"/>
      </top>
      <bottom style="thick">
        <color indexed="22"/>
      </bottom>
    </border>
    <border>
      <left>
        <color indexed="63"/>
      </left>
      <right>
        <color indexed="63"/>
      </right>
      <top>
        <color indexed="63"/>
      </top>
      <bottom style="thick">
        <color indexed="30"/>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color indexed="62"/>
      </top>
      <bottom style="double">
        <color indexed="62"/>
      </bottom>
    </border>
    <border>
      <left>
        <color indexed="63"/>
      </left>
      <right>
        <color indexed="63"/>
      </right>
      <top style="thin">
        <color indexed="28"/>
      </top>
      <bottom style="double">
        <color indexed="28"/>
      </bottom>
    </border>
    <border>
      <left style="thin">
        <color indexed="27"/>
      </left>
      <right>
        <color indexed="63"/>
      </right>
      <top style="double">
        <color indexed="23"/>
      </top>
      <bottom>
        <color indexed="63"/>
      </bottom>
    </border>
    <border>
      <left>
        <color indexed="63"/>
      </left>
      <right style="thin">
        <color indexed="27"/>
      </right>
      <top style="double">
        <color indexed="23"/>
      </top>
      <bottom>
        <color indexed="63"/>
      </bottom>
    </border>
    <border>
      <left style="thin">
        <color indexed="27"/>
      </left>
      <right style="thin">
        <color indexed="27"/>
      </right>
      <top style="double">
        <color indexed="23"/>
      </top>
      <bottom>
        <color indexed="63"/>
      </bottom>
    </border>
    <border>
      <left style="thin">
        <color indexed="27"/>
      </left>
      <right style="thin">
        <color indexed="27"/>
      </right>
      <top style="double">
        <color indexed="23"/>
      </top>
      <bottom style="thin">
        <color indexed="27"/>
      </bottom>
    </border>
    <border>
      <left style="thin">
        <color indexed="27"/>
      </left>
      <right>
        <color indexed="63"/>
      </right>
      <top style="double">
        <color indexed="23"/>
      </top>
      <bottom style="thin">
        <color indexed="27"/>
      </bottom>
    </border>
    <border>
      <left>
        <color indexed="63"/>
      </left>
      <right>
        <color indexed="63"/>
      </right>
      <top style="double">
        <color indexed="23"/>
      </top>
      <bottom style="thin">
        <color indexed="27"/>
      </bottom>
    </border>
    <border>
      <left style="thin">
        <color indexed="27"/>
      </left>
      <right>
        <color indexed="63"/>
      </right>
      <top>
        <color indexed="63"/>
      </top>
      <bottom>
        <color indexed="63"/>
      </bottom>
    </border>
    <border>
      <left>
        <color indexed="63"/>
      </left>
      <right style="thin">
        <color indexed="27"/>
      </right>
      <top>
        <color indexed="63"/>
      </top>
      <bottom>
        <color indexed="63"/>
      </bottom>
    </border>
    <border>
      <left style="thin">
        <color indexed="27"/>
      </left>
      <right style="thin">
        <color indexed="27"/>
      </right>
      <top>
        <color indexed="63"/>
      </top>
      <bottom>
        <color indexed="63"/>
      </bottom>
    </border>
    <border>
      <left style="thin">
        <color indexed="27"/>
      </left>
      <right style="thin">
        <color indexed="27"/>
      </right>
      <top style="thin">
        <color indexed="27"/>
      </top>
      <bottom style="thin">
        <color indexed="27"/>
      </bottom>
    </border>
    <border>
      <left style="thin">
        <color indexed="27"/>
      </left>
      <right style="thin">
        <color indexed="27"/>
      </right>
      <top style="thin">
        <color indexed="27"/>
      </top>
      <bottom>
        <color indexed="63"/>
      </bottom>
    </border>
    <border>
      <left style="thin">
        <color indexed="27"/>
      </left>
      <right>
        <color indexed="63"/>
      </right>
      <top>
        <color indexed="63"/>
      </top>
      <bottom style="double">
        <color indexed="23"/>
      </bottom>
    </border>
    <border>
      <left>
        <color indexed="63"/>
      </left>
      <right style="thin">
        <color indexed="27"/>
      </right>
      <top>
        <color indexed="63"/>
      </top>
      <bottom style="double">
        <color indexed="23"/>
      </bottom>
    </border>
    <border>
      <left style="thin">
        <color indexed="27"/>
      </left>
      <right style="thin">
        <color indexed="27"/>
      </right>
      <top>
        <color indexed="63"/>
      </top>
      <bottom style="double">
        <color indexed="23"/>
      </bottom>
    </border>
    <border>
      <left style="thin">
        <color indexed="27"/>
      </left>
      <right style="thin">
        <color indexed="27"/>
      </right>
      <top style="thin">
        <color indexed="27"/>
      </top>
      <bottom style="double">
        <color indexed="23"/>
      </bottom>
    </border>
    <border>
      <left style="thin">
        <color indexed="23"/>
      </left>
      <right>
        <color indexed="63"/>
      </right>
      <top style="double">
        <color indexed="23"/>
      </top>
      <bottom style="thin">
        <color indexed="63"/>
      </bottom>
    </border>
    <border>
      <left>
        <color indexed="63"/>
      </left>
      <right>
        <color indexed="63"/>
      </right>
      <top style="double">
        <color indexed="23"/>
      </top>
      <bottom style="thin">
        <color indexed="63"/>
      </bottom>
    </border>
    <border>
      <left>
        <color indexed="63"/>
      </left>
      <right style="thin">
        <color indexed="23"/>
      </right>
      <top style="double">
        <color indexed="23"/>
      </top>
      <bottom style="thin">
        <color indexed="63"/>
      </bottom>
    </border>
    <border>
      <left style="thin">
        <color indexed="23"/>
      </left>
      <right>
        <color indexed="63"/>
      </right>
      <top>
        <color indexed="63"/>
      </top>
      <bottom style="thin"/>
    </border>
    <border>
      <left>
        <color indexed="63"/>
      </left>
      <right>
        <color indexed="63"/>
      </right>
      <top>
        <color indexed="63"/>
      </top>
      <bottom style="thin"/>
    </border>
    <border>
      <left>
        <color indexed="63"/>
      </left>
      <right style="thin">
        <color indexed="23"/>
      </right>
      <top>
        <color indexed="63"/>
      </top>
      <bottom style="thin"/>
    </border>
    <border>
      <left style="thin">
        <color indexed="23"/>
      </left>
      <right style="thin">
        <color indexed="27"/>
      </right>
      <top>
        <color indexed="63"/>
      </top>
      <bottom style="thin">
        <color indexed="27"/>
      </bottom>
    </border>
    <border>
      <left style="thin">
        <color indexed="27"/>
      </left>
      <right style="thin">
        <color indexed="27"/>
      </right>
      <top>
        <color indexed="63"/>
      </top>
      <bottom style="thin">
        <color indexed="27"/>
      </bottom>
    </border>
    <border>
      <left style="thin">
        <color indexed="27"/>
      </left>
      <right style="thin">
        <color indexed="23"/>
      </right>
      <top>
        <color indexed="63"/>
      </top>
      <bottom style="thin">
        <color indexed="27"/>
      </bottom>
    </border>
    <border>
      <left style="thin">
        <color indexed="23"/>
      </left>
      <right style="thin">
        <color indexed="27"/>
      </right>
      <top style="thin">
        <color indexed="27"/>
      </top>
      <bottom style="thin">
        <color indexed="27"/>
      </bottom>
    </border>
    <border>
      <left style="thin">
        <color indexed="27"/>
      </left>
      <right style="thin">
        <color indexed="23"/>
      </right>
      <top style="thin">
        <color indexed="27"/>
      </top>
      <bottom style="thin">
        <color indexed="27"/>
      </bottom>
    </border>
    <border>
      <left>
        <color indexed="63"/>
      </left>
      <right style="thin">
        <color indexed="27"/>
      </right>
      <top>
        <color indexed="63"/>
      </top>
      <bottom style="thin"/>
    </border>
    <border>
      <left style="thin">
        <color indexed="27"/>
      </left>
      <right style="thin">
        <color indexed="27"/>
      </right>
      <top>
        <color indexed="63"/>
      </top>
      <bottom style="thin"/>
    </border>
    <border>
      <left style="thin">
        <color indexed="27"/>
      </left>
      <right style="thin">
        <color indexed="23"/>
      </right>
      <top>
        <color indexed="63"/>
      </top>
      <bottom style="thin"/>
    </border>
    <border>
      <left style="thin">
        <color indexed="23"/>
      </left>
      <right>
        <color indexed="63"/>
      </right>
      <top style="thin"/>
      <bottom style="thin"/>
    </border>
    <border>
      <left>
        <color indexed="63"/>
      </left>
      <right>
        <color indexed="63"/>
      </right>
      <top style="thin"/>
      <bottom style="thin"/>
    </border>
    <border>
      <left>
        <color indexed="63"/>
      </left>
      <right style="thin">
        <color indexed="23"/>
      </right>
      <top style="thin"/>
      <bottom style="thin"/>
    </border>
    <border>
      <left style="thin">
        <color indexed="23"/>
      </left>
      <right style="thin">
        <color indexed="27"/>
      </right>
      <top style="thin">
        <color indexed="27"/>
      </top>
      <bottom>
        <color indexed="63"/>
      </bottom>
    </border>
    <border>
      <left style="thin">
        <color indexed="27"/>
      </left>
      <right style="thin">
        <color indexed="23"/>
      </right>
      <top style="thin">
        <color indexed="27"/>
      </top>
      <bottom>
        <color indexed="63"/>
      </bottom>
    </border>
    <border>
      <left style="thin">
        <color indexed="23"/>
      </left>
      <right>
        <color indexed="63"/>
      </right>
      <top style="thin">
        <color indexed="27"/>
      </top>
      <bottom style="thin"/>
    </border>
    <border>
      <left>
        <color indexed="63"/>
      </left>
      <right style="thin">
        <color indexed="27"/>
      </right>
      <top style="thin">
        <color indexed="27"/>
      </top>
      <bottom>
        <color indexed="63"/>
      </bottom>
    </border>
    <border>
      <left style="thin">
        <color indexed="23"/>
      </left>
      <right>
        <color indexed="63"/>
      </right>
      <top style="thin">
        <color indexed="63"/>
      </top>
      <bottom style="thin"/>
    </border>
    <border>
      <left>
        <color indexed="63"/>
      </left>
      <right style="thin">
        <color indexed="27"/>
      </right>
      <top style="thin">
        <color indexed="63"/>
      </top>
      <bottom style="thin"/>
    </border>
    <border>
      <left style="thin">
        <color indexed="27"/>
      </left>
      <right style="thin">
        <color indexed="27"/>
      </right>
      <top style="thin">
        <color indexed="63"/>
      </top>
      <bottom style="thin"/>
    </border>
    <border>
      <left style="thin">
        <color indexed="27"/>
      </left>
      <right>
        <color indexed="63"/>
      </right>
      <top style="thin">
        <color indexed="63"/>
      </top>
      <bottom style="thin"/>
    </border>
    <border>
      <left>
        <color indexed="63"/>
      </left>
      <right>
        <color indexed="63"/>
      </right>
      <top style="thin">
        <color indexed="63"/>
      </top>
      <bottom style="thin"/>
    </border>
    <border>
      <left style="thin">
        <color indexed="27"/>
      </left>
      <right style="thin">
        <color indexed="23"/>
      </right>
      <top style="thin">
        <color indexed="63"/>
      </top>
      <bottom style="thin"/>
    </border>
    <border>
      <left style="thin">
        <color indexed="23"/>
      </left>
      <right>
        <color indexed="63"/>
      </right>
      <top style="thin"/>
      <bottom style="thin">
        <color indexed="63"/>
      </bottom>
    </border>
    <border>
      <left>
        <color indexed="63"/>
      </left>
      <right>
        <color indexed="63"/>
      </right>
      <top style="thin"/>
      <bottom style="thin">
        <color indexed="63"/>
      </bottom>
    </border>
    <border>
      <left>
        <color indexed="63"/>
      </left>
      <right style="thin">
        <color indexed="23"/>
      </right>
      <top style="thin"/>
      <bottom style="thin">
        <color indexed="63"/>
      </bottom>
    </border>
    <border>
      <left style="thin">
        <color indexed="23"/>
      </left>
      <right style="thin">
        <color indexed="27"/>
      </right>
      <top style="thin">
        <color indexed="63"/>
      </top>
      <bottom style="thin"/>
    </border>
    <border>
      <left style="thin">
        <color indexed="2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23"/>
      </right>
      <top>
        <color indexed="63"/>
      </top>
      <bottom style="thin">
        <color indexed="63"/>
      </bottom>
    </border>
    <border>
      <left style="thin">
        <color indexed="23"/>
      </left>
      <right>
        <color indexed="63"/>
      </right>
      <top style="thin">
        <color indexed="27"/>
      </top>
      <bottom style="thin">
        <color indexed="27"/>
      </bottom>
    </border>
    <border>
      <left>
        <color indexed="63"/>
      </left>
      <right style="thin">
        <color indexed="27"/>
      </right>
      <top style="thin">
        <color indexed="27"/>
      </top>
      <bottom style="thin">
        <color indexed="27"/>
      </bottom>
    </border>
    <border>
      <left style="thin">
        <color indexed="23"/>
      </left>
      <right style="thin">
        <color indexed="27"/>
      </right>
      <top>
        <color indexed="63"/>
      </top>
      <bottom style="thin"/>
    </border>
    <border>
      <left style="thin">
        <color indexed="23"/>
      </left>
      <right>
        <color indexed="63"/>
      </right>
      <top style="thin">
        <color indexed="27"/>
      </top>
      <bottom>
        <color indexed="63"/>
      </bottom>
    </border>
    <border>
      <left style="thin">
        <color indexed="23"/>
      </left>
      <right>
        <color indexed="63"/>
      </right>
      <top>
        <color indexed="63"/>
      </top>
      <bottom style="thin">
        <color indexed="27"/>
      </bottom>
    </border>
    <border>
      <left>
        <color indexed="63"/>
      </left>
      <right style="thin">
        <color indexed="27"/>
      </right>
      <top>
        <color indexed="63"/>
      </top>
      <bottom style="thin">
        <color indexed="27"/>
      </bottom>
    </border>
    <border>
      <left style="thin">
        <color indexed="23"/>
      </left>
      <right style="thin">
        <color indexed="27"/>
      </right>
      <top style="thin"/>
      <bottom style="thin"/>
    </border>
    <border>
      <left style="thin">
        <color indexed="27"/>
      </left>
      <right style="thin">
        <color indexed="27"/>
      </right>
      <top style="thin"/>
      <bottom style="thin"/>
    </border>
    <border>
      <left style="thin">
        <color indexed="27"/>
      </left>
      <right style="thin">
        <color indexed="23"/>
      </right>
      <top style="thin"/>
      <bottom style="thin"/>
    </border>
    <border>
      <left style="thin">
        <color indexed="23"/>
      </left>
      <right>
        <color indexed="63"/>
      </right>
      <top>
        <color indexed="63"/>
      </top>
      <bottom>
        <color indexed="63"/>
      </bottom>
    </border>
    <border>
      <left style="thin">
        <color indexed="27"/>
      </left>
      <right style="thin">
        <color indexed="23"/>
      </right>
      <top>
        <color indexed="63"/>
      </top>
      <bottom>
        <color indexed="63"/>
      </bottom>
    </border>
    <border>
      <left style="thin">
        <color indexed="23"/>
      </left>
      <right style="thin">
        <color indexed="27"/>
      </right>
      <top>
        <color indexed="63"/>
      </top>
      <bottom>
        <color indexed="63"/>
      </bottom>
    </border>
    <border>
      <left style="thin">
        <color indexed="23"/>
      </left>
      <right style="thin">
        <color indexed="27"/>
      </right>
      <top style="thin"/>
      <bottom style="thin">
        <color indexed="63"/>
      </bottom>
    </border>
    <border>
      <left style="thin">
        <color indexed="27"/>
      </left>
      <right style="thin">
        <color indexed="27"/>
      </right>
      <top style="thin"/>
      <bottom style="thin">
        <color indexed="63"/>
      </bottom>
    </border>
    <border>
      <left style="thin">
        <color indexed="27"/>
      </left>
      <right style="thin">
        <color indexed="23"/>
      </right>
      <top style="thin"/>
      <bottom style="thin">
        <color indexed="63"/>
      </bottom>
    </border>
    <border>
      <left style="thin">
        <color indexed="27"/>
      </left>
      <right>
        <color indexed="63"/>
      </right>
      <top>
        <color indexed="63"/>
      </top>
      <bottom style="thin"/>
    </border>
  </borders>
  <cellStyleXfs count="1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5" fillId="14" borderId="1" applyNumberFormat="0" applyAlignment="0" applyProtection="0"/>
    <xf numFmtId="0" fontId="5" fillId="14" borderId="1" applyNumberFormat="0" applyAlignment="0" applyProtection="0"/>
    <xf numFmtId="0" fontId="5" fillId="14" borderId="1" applyNumberFormat="0" applyAlignment="0" applyProtection="0"/>
    <xf numFmtId="0" fontId="5" fillId="14" borderId="1" applyNumberFormat="0" applyAlignment="0" applyProtection="0"/>
    <xf numFmtId="0" fontId="5" fillId="7" borderId="1" applyNumberFormat="0" applyAlignment="0" applyProtection="0"/>
    <xf numFmtId="0" fontId="6" fillId="26"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7"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6" fillId="0" borderId="7"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9" borderId="1" applyNumberFormat="0" applyAlignment="0" applyProtection="0"/>
    <xf numFmtId="0" fontId="19" fillId="0" borderId="8" applyNumberFormat="0" applyFill="0" applyAlignment="0" applyProtection="0"/>
    <xf numFmtId="0" fontId="20" fillId="2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28" borderId="9" applyNumberFormat="0" applyFont="0" applyAlignment="0" applyProtection="0"/>
    <xf numFmtId="0" fontId="7" fillId="28" borderId="9" applyNumberFormat="0" applyFont="0" applyAlignment="0" applyProtection="0"/>
    <xf numFmtId="0" fontId="7" fillId="28" borderId="9" applyNumberFormat="0" applyFont="0" applyAlignment="0" applyProtection="0"/>
    <xf numFmtId="0" fontId="7" fillId="28" borderId="9" applyNumberFormat="0" applyFont="0" applyAlignment="0" applyProtection="0"/>
    <xf numFmtId="0" fontId="7" fillId="27" borderId="9" applyNumberFormat="0" applyFont="0" applyAlignment="0" applyProtection="0"/>
    <xf numFmtId="0" fontId="23" fillId="14" borderId="10" applyNumberFormat="0" applyAlignment="0" applyProtection="0"/>
    <xf numFmtId="0" fontId="23" fillId="14" borderId="10" applyNumberFormat="0" applyAlignment="0" applyProtection="0"/>
    <xf numFmtId="0" fontId="23" fillId="14" borderId="10" applyNumberFormat="0" applyAlignment="0" applyProtection="0"/>
    <xf numFmtId="0" fontId="23" fillId="14" borderId="10" applyNumberFormat="0" applyAlignment="0" applyProtection="0"/>
    <xf numFmtId="0" fontId="23" fillId="7" borderId="10" applyNumberFormat="0" applyAlignment="0" applyProtection="0"/>
    <xf numFmtId="9" fontId="0" fillId="0" borderId="0" applyFont="0" applyFill="0" applyBorder="0" applyAlignment="0" applyProtection="0"/>
    <xf numFmtId="0" fontId="7" fillId="0" borderId="11">
      <alignment vertical="top" wrapText="1"/>
      <protection locked="0"/>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3" applyNumberFormat="0" applyFill="0" applyAlignment="0" applyProtection="0"/>
    <xf numFmtId="0" fontId="27" fillId="0" borderId="0" applyNumberFormat="0" applyFill="0" applyBorder="0" applyAlignment="0" applyProtection="0"/>
  </cellStyleXfs>
  <cellXfs count="223">
    <xf numFmtId="0" fontId="0" fillId="0" borderId="0" xfId="0" applyAlignment="1">
      <alignment/>
    </xf>
    <xf numFmtId="0" fontId="28" fillId="0" borderId="0" xfId="0" applyFont="1" applyBorder="1" applyAlignment="1">
      <alignment horizontal="left" vertical="center"/>
    </xf>
    <xf numFmtId="0" fontId="29" fillId="0" borderId="0" xfId="0" applyFont="1" applyBorder="1" applyAlignment="1">
      <alignment/>
    </xf>
    <xf numFmtId="0" fontId="29" fillId="0" borderId="0" xfId="0" applyFont="1" applyBorder="1" applyAlignment="1">
      <alignment horizontal="left"/>
    </xf>
    <xf numFmtId="0" fontId="29" fillId="0" borderId="0" xfId="0" applyFont="1" applyBorder="1" applyAlignment="1">
      <alignment horizontal="center"/>
    </xf>
    <xf numFmtId="0" fontId="30" fillId="0" borderId="0" xfId="0" applyFont="1" applyBorder="1" applyAlignment="1">
      <alignment horizontal="center"/>
    </xf>
    <xf numFmtId="3" fontId="29" fillId="0" borderId="0" xfId="0" applyNumberFormat="1" applyFont="1" applyBorder="1" applyAlignment="1">
      <alignment horizontal="right"/>
    </xf>
    <xf numFmtId="0" fontId="31" fillId="29" borderId="14" xfId="0" applyFont="1" applyFill="1" applyBorder="1" applyAlignment="1">
      <alignment horizontal="center" vertical="center"/>
    </xf>
    <xf numFmtId="0" fontId="31" fillId="29" borderId="15" xfId="0" applyFont="1" applyFill="1" applyBorder="1" applyAlignment="1">
      <alignment horizontal="center" vertical="center"/>
    </xf>
    <xf numFmtId="0" fontId="31" fillId="29" borderId="16" xfId="0" applyFont="1" applyFill="1" applyBorder="1" applyAlignment="1">
      <alignment horizontal="center" vertical="center"/>
    </xf>
    <xf numFmtId="0" fontId="31" fillId="29" borderId="16" xfId="0" applyFont="1" applyFill="1" applyBorder="1" applyAlignment="1">
      <alignment horizontal="center" vertical="center" wrapText="1"/>
    </xf>
    <xf numFmtId="0" fontId="31" fillId="29" borderId="17" xfId="0" applyFont="1" applyFill="1" applyBorder="1" applyAlignment="1">
      <alignment horizontal="center" vertical="center" wrapText="1"/>
    </xf>
    <xf numFmtId="3" fontId="31" fillId="29" borderId="16" xfId="0" applyNumberFormat="1" applyFont="1" applyFill="1" applyBorder="1" applyAlignment="1">
      <alignment horizontal="center" vertical="center" wrapText="1"/>
    </xf>
    <xf numFmtId="0" fontId="31" fillId="29" borderId="18" xfId="0" applyFont="1" applyFill="1" applyBorder="1" applyAlignment="1">
      <alignment horizontal="center" vertical="center"/>
    </xf>
    <xf numFmtId="0" fontId="31" fillId="29" borderId="19" xfId="0" applyFont="1" applyFill="1" applyBorder="1" applyAlignment="1">
      <alignment horizontal="center" vertical="center"/>
    </xf>
    <xf numFmtId="0" fontId="31" fillId="29" borderId="20" xfId="0" applyFont="1" applyFill="1" applyBorder="1" applyAlignment="1">
      <alignment horizontal="center" vertical="center"/>
    </xf>
    <xf numFmtId="0" fontId="31" fillId="29" borderId="21" xfId="0" applyFont="1" applyFill="1" applyBorder="1" applyAlignment="1">
      <alignment horizontal="center" vertical="center"/>
    </xf>
    <xf numFmtId="0" fontId="31" fillId="29" borderId="22" xfId="0" applyFont="1" applyFill="1" applyBorder="1" applyAlignment="1">
      <alignment horizontal="center" vertical="center"/>
    </xf>
    <xf numFmtId="0" fontId="31" fillId="29" borderId="22" xfId="0" applyFont="1" applyFill="1" applyBorder="1" applyAlignment="1">
      <alignment horizontal="center" vertical="center" wrapText="1"/>
    </xf>
    <xf numFmtId="0" fontId="31" fillId="29" borderId="23" xfId="0" applyFont="1" applyFill="1" applyBorder="1" applyAlignment="1">
      <alignment horizontal="center" vertical="center" wrapText="1"/>
    </xf>
    <xf numFmtId="3" fontId="31" fillId="29" borderId="22" xfId="0" applyNumberFormat="1" applyFont="1" applyFill="1" applyBorder="1" applyAlignment="1">
      <alignment horizontal="center" vertical="center" wrapText="1"/>
    </xf>
    <xf numFmtId="0" fontId="32" fillId="29" borderId="24" xfId="0" applyFont="1" applyFill="1" applyBorder="1" applyAlignment="1">
      <alignment horizontal="center" vertical="center"/>
    </xf>
    <xf numFmtId="0" fontId="32" fillId="29" borderId="24" xfId="0" applyFont="1" applyFill="1" applyBorder="1" applyAlignment="1">
      <alignment horizontal="center" vertical="center" wrapText="1"/>
    </xf>
    <xf numFmtId="0" fontId="31" fillId="29" borderId="25" xfId="0" applyFont="1" applyFill="1" applyBorder="1" applyAlignment="1">
      <alignment horizontal="center" vertical="center"/>
    </xf>
    <xf numFmtId="0" fontId="31" fillId="29" borderId="26" xfId="0" applyFont="1" applyFill="1" applyBorder="1" applyAlignment="1">
      <alignment horizontal="center" vertical="center"/>
    </xf>
    <xf numFmtId="0" fontId="31" fillId="29" borderId="27" xfId="0" applyFont="1" applyFill="1" applyBorder="1" applyAlignment="1">
      <alignment horizontal="center" vertical="center"/>
    </xf>
    <xf numFmtId="0" fontId="31" fillId="29" borderId="27" xfId="0" applyFont="1" applyFill="1" applyBorder="1" applyAlignment="1">
      <alignment horizontal="center" vertical="center" wrapText="1"/>
    </xf>
    <xf numFmtId="0" fontId="31" fillId="29" borderId="28" xfId="0" applyFont="1" applyFill="1" applyBorder="1" applyAlignment="1">
      <alignment horizontal="center" vertical="center" wrapText="1"/>
    </xf>
    <xf numFmtId="3" fontId="31" fillId="29" borderId="27" xfId="0" applyNumberFormat="1" applyFont="1" applyFill="1" applyBorder="1" applyAlignment="1">
      <alignment horizontal="center" vertical="center" wrapText="1"/>
    </xf>
    <xf numFmtId="0" fontId="32" fillId="29" borderId="27" xfId="0" applyFont="1" applyFill="1" applyBorder="1" applyAlignment="1">
      <alignment horizontal="center" vertical="center"/>
    </xf>
    <xf numFmtId="0" fontId="32" fillId="29" borderId="27" xfId="0" applyFont="1" applyFill="1" applyBorder="1" applyAlignment="1">
      <alignment horizontal="center" vertical="center" wrapText="1"/>
    </xf>
    <xf numFmtId="0" fontId="33" fillId="15" borderId="29" xfId="0" applyFont="1" applyFill="1" applyBorder="1" applyAlignment="1">
      <alignment horizontal="center" vertical="center"/>
    </xf>
    <xf numFmtId="0" fontId="33" fillId="15" borderId="30" xfId="0" applyFont="1" applyFill="1" applyBorder="1" applyAlignment="1">
      <alignment horizontal="center" vertical="center"/>
    </xf>
    <xf numFmtId="0" fontId="33" fillId="15" borderId="31" xfId="0" applyFont="1" applyFill="1" applyBorder="1" applyAlignment="1">
      <alignment horizontal="center" vertical="center"/>
    </xf>
    <xf numFmtId="0" fontId="33" fillId="15" borderId="32" xfId="157" applyFont="1" applyFill="1" applyBorder="1" applyAlignment="1">
      <alignment horizontal="left"/>
      <protection/>
    </xf>
    <xf numFmtId="0" fontId="33" fillId="15" borderId="33" xfId="157" applyFont="1" applyFill="1" applyBorder="1" applyAlignment="1">
      <alignment horizontal="left"/>
      <protection/>
    </xf>
    <xf numFmtId="0" fontId="33" fillId="15" borderId="34" xfId="157" applyFont="1" applyFill="1" applyBorder="1" applyAlignment="1">
      <alignment horizontal="left"/>
      <protection/>
    </xf>
    <xf numFmtId="0" fontId="34" fillId="30" borderId="35" xfId="157" applyFont="1" applyFill="1" applyBorder="1" applyAlignment="1">
      <alignment horizontal="left"/>
      <protection/>
    </xf>
    <xf numFmtId="0" fontId="34" fillId="30" borderId="36" xfId="157" applyFont="1" applyFill="1" applyBorder="1" applyAlignment="1">
      <alignment horizontal="left"/>
      <protection/>
    </xf>
    <xf numFmtId="0" fontId="34" fillId="30" borderId="36" xfId="157" applyFont="1" applyFill="1" applyBorder="1" applyAlignment="1">
      <alignment horizontal="left"/>
      <protection/>
    </xf>
    <xf numFmtId="0" fontId="34" fillId="30" borderId="36" xfId="0" applyFont="1" applyFill="1" applyBorder="1" applyAlignment="1">
      <alignment horizontal="center"/>
    </xf>
    <xf numFmtId="0" fontId="30" fillId="30" borderId="36" xfId="0" applyFont="1" applyFill="1" applyBorder="1" applyAlignment="1">
      <alignment horizontal="center"/>
    </xf>
    <xf numFmtId="3" fontId="34" fillId="30" borderId="36" xfId="0" applyNumberFormat="1" applyFont="1" applyFill="1" applyBorder="1" applyAlignment="1">
      <alignment horizontal="right"/>
    </xf>
    <xf numFmtId="173" fontId="34" fillId="30" borderId="36" xfId="0" applyNumberFormat="1" applyFont="1" applyFill="1" applyBorder="1" applyAlignment="1">
      <alignment/>
    </xf>
    <xf numFmtId="0" fontId="34" fillId="30" borderId="37" xfId="0" applyFont="1" applyFill="1" applyBorder="1" applyAlignment="1">
      <alignment/>
    </xf>
    <xf numFmtId="0" fontId="34" fillId="30" borderId="38" xfId="157" applyFont="1" applyFill="1" applyBorder="1" applyAlignment="1">
      <alignment horizontal="left"/>
      <protection/>
    </xf>
    <xf numFmtId="0" fontId="34" fillId="30" borderId="23" xfId="157" applyFont="1" applyFill="1" applyBorder="1" applyAlignment="1">
      <alignment horizontal="left"/>
      <protection/>
    </xf>
    <xf numFmtId="0" fontId="34" fillId="30" borderId="23" xfId="0" applyFont="1" applyFill="1" applyBorder="1" applyAlignment="1">
      <alignment horizontal="center"/>
    </xf>
    <xf numFmtId="0" fontId="30" fillId="30" borderId="24" xfId="0" applyFont="1" applyFill="1" applyBorder="1" applyAlignment="1">
      <alignment horizontal="center"/>
    </xf>
    <xf numFmtId="3" fontId="34" fillId="30" borderId="23" xfId="0" applyNumberFormat="1" applyFont="1" applyFill="1" applyBorder="1" applyAlignment="1">
      <alignment horizontal="right"/>
    </xf>
    <xf numFmtId="0" fontId="34" fillId="30" borderId="39" xfId="0" applyFont="1" applyFill="1" applyBorder="1" applyAlignment="1">
      <alignment/>
    </xf>
    <xf numFmtId="0" fontId="34" fillId="30" borderId="23" xfId="157" applyFont="1" applyFill="1" applyBorder="1" applyAlignment="1">
      <alignment horizontal="left"/>
      <protection/>
    </xf>
    <xf numFmtId="0" fontId="30" fillId="30" borderId="23" xfId="0" applyFont="1" applyFill="1" applyBorder="1" applyAlignment="1">
      <alignment horizontal="center"/>
    </xf>
    <xf numFmtId="173" fontId="34" fillId="30" borderId="23" xfId="0" applyNumberFormat="1" applyFont="1" applyFill="1" applyBorder="1" applyAlignment="1">
      <alignment/>
    </xf>
    <xf numFmtId="0" fontId="33" fillId="8" borderId="32" xfId="157" applyFont="1" applyFill="1" applyBorder="1" applyAlignment="1">
      <alignment horizontal="left"/>
      <protection/>
    </xf>
    <xf numFmtId="0" fontId="33" fillId="8" borderId="40" xfId="157" applyFont="1" applyFill="1" applyBorder="1" applyAlignment="1">
      <alignment horizontal="left"/>
      <protection/>
    </xf>
    <xf numFmtId="0" fontId="33" fillId="8" borderId="40" xfId="157" applyFont="1" applyFill="1" applyBorder="1" applyAlignment="1">
      <alignment horizontal="left"/>
      <protection/>
    </xf>
    <xf numFmtId="0" fontId="34" fillId="8" borderId="41" xfId="0" applyFont="1" applyFill="1" applyBorder="1" applyAlignment="1">
      <alignment horizontal="center"/>
    </xf>
    <xf numFmtId="0" fontId="30" fillId="8" borderId="41" xfId="0" applyFont="1" applyFill="1" applyBorder="1" applyAlignment="1">
      <alignment horizontal="center"/>
    </xf>
    <xf numFmtId="3" fontId="33" fillId="8" borderId="41" xfId="0" applyNumberFormat="1" applyFont="1" applyFill="1" applyBorder="1" applyAlignment="1">
      <alignment horizontal="right"/>
    </xf>
    <xf numFmtId="3" fontId="34" fillId="8" borderId="41" xfId="0" applyNumberFormat="1" applyFont="1" applyFill="1" applyBorder="1" applyAlignment="1">
      <alignment horizontal="right"/>
    </xf>
    <xf numFmtId="173" fontId="33" fillId="8" borderId="41" xfId="0" applyNumberFormat="1" applyFont="1" applyFill="1" applyBorder="1" applyAlignment="1">
      <alignment/>
    </xf>
    <xf numFmtId="0" fontId="33" fillId="8" borderId="41" xfId="0" applyFont="1" applyFill="1" applyBorder="1" applyAlignment="1">
      <alignment horizontal="center"/>
    </xf>
    <xf numFmtId="0" fontId="34" fillId="8" borderId="42" xfId="0" applyFont="1" applyFill="1" applyBorder="1" applyAlignment="1">
      <alignment/>
    </xf>
    <xf numFmtId="0" fontId="33" fillId="15" borderId="43" xfId="0" applyFont="1" applyFill="1" applyBorder="1" applyAlignment="1">
      <alignment horizontal="left"/>
    </xf>
    <xf numFmtId="0" fontId="33" fillId="15" borderId="44" xfId="0" applyFont="1" applyFill="1" applyBorder="1" applyAlignment="1">
      <alignment horizontal="left"/>
    </xf>
    <xf numFmtId="0" fontId="33" fillId="15" borderId="45" xfId="0" applyFont="1" applyFill="1" applyBorder="1" applyAlignment="1">
      <alignment horizontal="left"/>
    </xf>
    <xf numFmtId="9" fontId="34" fillId="30" borderId="37" xfId="0" applyNumberFormat="1" applyFont="1" applyFill="1" applyBorder="1" applyAlignment="1">
      <alignment/>
    </xf>
    <xf numFmtId="0" fontId="34" fillId="30" borderId="38" xfId="0" applyFont="1" applyFill="1" applyBorder="1" applyAlignment="1">
      <alignment horizontal="left"/>
    </xf>
    <xf numFmtId="0" fontId="34" fillId="30" borderId="23" xfId="0" applyFont="1" applyFill="1" applyBorder="1" applyAlignment="1">
      <alignment horizontal="left"/>
    </xf>
    <xf numFmtId="0" fontId="34" fillId="30" borderId="46" xfId="0" applyFont="1" applyFill="1" applyBorder="1" applyAlignment="1">
      <alignment horizontal="left"/>
    </xf>
    <xf numFmtId="0" fontId="34" fillId="30" borderId="24" xfId="0" applyFont="1" applyFill="1" applyBorder="1" applyAlignment="1">
      <alignment horizontal="left"/>
    </xf>
    <xf numFmtId="0" fontId="34" fillId="30" borderId="22" xfId="157" applyFont="1" applyFill="1" applyBorder="1" applyAlignment="1">
      <alignment horizontal="left"/>
      <protection/>
    </xf>
    <xf numFmtId="0" fontId="34" fillId="30" borderId="24" xfId="0" applyFont="1" applyFill="1" applyBorder="1" applyAlignment="1">
      <alignment horizontal="center"/>
    </xf>
    <xf numFmtId="3" fontId="34" fillId="30" borderId="24" xfId="0" applyNumberFormat="1" applyFont="1" applyFill="1" applyBorder="1" applyAlignment="1">
      <alignment horizontal="right"/>
    </xf>
    <xf numFmtId="173" fontId="34" fillId="30" borderId="24" xfId="0" applyNumberFormat="1" applyFont="1" applyFill="1" applyBorder="1" applyAlignment="1">
      <alignment/>
    </xf>
    <xf numFmtId="0" fontId="34" fillId="30" borderId="47" xfId="0" applyFont="1" applyFill="1" applyBorder="1" applyAlignment="1">
      <alignment/>
    </xf>
    <xf numFmtId="0" fontId="34" fillId="31" borderId="35" xfId="157" applyFont="1" applyFill="1" applyBorder="1" applyAlignment="1">
      <alignment horizontal="left"/>
      <protection/>
    </xf>
    <xf numFmtId="0" fontId="34" fillId="31" borderId="36" xfId="157" applyFont="1" applyFill="1" applyBorder="1" applyAlignment="1">
      <alignment horizontal="left"/>
      <protection/>
    </xf>
    <xf numFmtId="0" fontId="34" fillId="31" borderId="36" xfId="157" applyFont="1" applyFill="1" applyBorder="1" applyAlignment="1">
      <alignment horizontal="left"/>
      <protection/>
    </xf>
    <xf numFmtId="0" fontId="34" fillId="31" borderId="36" xfId="0" applyFont="1" applyFill="1" applyBorder="1" applyAlignment="1">
      <alignment horizontal="center"/>
    </xf>
    <xf numFmtId="0" fontId="30" fillId="31" borderId="24" xfId="0" applyFont="1" applyFill="1" applyBorder="1" applyAlignment="1">
      <alignment horizontal="center"/>
    </xf>
    <xf numFmtId="3" fontId="34" fillId="31" borderId="36" xfId="0" applyNumberFormat="1" applyFont="1" applyFill="1" applyBorder="1" applyAlignment="1">
      <alignment horizontal="right"/>
    </xf>
    <xf numFmtId="173" fontId="34" fillId="31" borderId="36" xfId="0" applyNumberFormat="1" applyFont="1" applyFill="1" applyBorder="1" applyAlignment="1">
      <alignment/>
    </xf>
    <xf numFmtId="9" fontId="34" fillId="31" borderId="37" xfId="0" applyNumberFormat="1" applyFont="1" applyFill="1" applyBorder="1" applyAlignment="1">
      <alignment/>
    </xf>
    <xf numFmtId="0" fontId="34" fillId="31" borderId="38" xfId="157" applyFont="1" applyFill="1" applyBorder="1" applyAlignment="1">
      <alignment horizontal="left"/>
      <protection/>
    </xf>
    <xf numFmtId="0" fontId="34" fillId="31" borderId="23" xfId="157" applyFont="1" applyFill="1" applyBorder="1" applyAlignment="1">
      <alignment horizontal="left"/>
      <protection/>
    </xf>
    <xf numFmtId="0" fontId="34" fillId="31" borderId="23" xfId="157" applyFont="1" applyFill="1" applyBorder="1" applyAlignment="1">
      <alignment horizontal="left"/>
      <protection/>
    </xf>
    <xf numFmtId="0" fontId="34" fillId="31" borderId="23" xfId="0" applyFont="1" applyFill="1" applyBorder="1" applyAlignment="1">
      <alignment horizontal="center"/>
    </xf>
    <xf numFmtId="3" fontId="34" fillId="31" borderId="23" xfId="0" applyNumberFormat="1" applyFont="1" applyFill="1" applyBorder="1" applyAlignment="1">
      <alignment horizontal="right"/>
    </xf>
    <xf numFmtId="173" fontId="34" fillId="31" borderId="23" xfId="0" applyNumberFormat="1" applyFont="1" applyFill="1" applyBorder="1" applyAlignment="1">
      <alignment/>
    </xf>
    <xf numFmtId="0" fontId="34" fillId="31" borderId="39" xfId="0" applyFont="1" applyFill="1" applyBorder="1" applyAlignment="1">
      <alignment/>
    </xf>
    <xf numFmtId="0" fontId="34" fillId="31" borderId="38" xfId="157" applyFont="1" applyFill="1" applyBorder="1" applyAlignment="1">
      <alignment horizontal="left"/>
      <protection/>
    </xf>
    <xf numFmtId="0" fontId="30" fillId="31" borderId="23" xfId="0" applyFont="1" applyFill="1" applyBorder="1" applyAlignment="1">
      <alignment horizontal="center"/>
    </xf>
    <xf numFmtId="0" fontId="34" fillId="31" borderId="48" xfId="157" applyFont="1" applyFill="1" applyBorder="1" applyAlignment="1">
      <alignment horizontal="left"/>
      <protection/>
    </xf>
    <xf numFmtId="0" fontId="34" fillId="31" borderId="49" xfId="157" applyFont="1" applyFill="1" applyBorder="1" applyAlignment="1">
      <alignment horizontal="left"/>
      <protection/>
    </xf>
    <xf numFmtId="0" fontId="34" fillId="31" borderId="24" xfId="157" applyFont="1" applyFill="1" applyBorder="1" applyAlignment="1">
      <alignment horizontal="left"/>
      <protection/>
    </xf>
    <xf numFmtId="0" fontId="34" fillId="31" borderId="24" xfId="0" applyFont="1" applyFill="1" applyBorder="1" applyAlignment="1">
      <alignment horizontal="center"/>
    </xf>
    <xf numFmtId="3" fontId="34" fillId="31" borderId="24" xfId="0" applyNumberFormat="1" applyFont="1" applyFill="1" applyBorder="1" applyAlignment="1">
      <alignment horizontal="right"/>
    </xf>
    <xf numFmtId="173" fontId="34" fillId="31" borderId="24" xfId="0" applyNumberFormat="1" applyFont="1" applyFill="1" applyBorder="1" applyAlignment="1">
      <alignment/>
    </xf>
    <xf numFmtId="0" fontId="34" fillId="31" borderId="47" xfId="0" applyFont="1" applyFill="1" applyBorder="1" applyAlignment="1">
      <alignment/>
    </xf>
    <xf numFmtId="0" fontId="33" fillId="15" borderId="43" xfId="157" applyFont="1" applyFill="1" applyBorder="1" applyAlignment="1">
      <alignment horizontal="left"/>
      <protection/>
    </xf>
    <xf numFmtId="0" fontId="33" fillId="15" borderId="44" xfId="157" applyFont="1" applyFill="1" applyBorder="1" applyAlignment="1">
      <alignment horizontal="left"/>
      <protection/>
    </xf>
    <xf numFmtId="0" fontId="33" fillId="15" borderId="45" xfId="157" applyFont="1" applyFill="1" applyBorder="1" applyAlignment="1">
      <alignment horizontal="left"/>
      <protection/>
    </xf>
    <xf numFmtId="0" fontId="34" fillId="31" borderId="37" xfId="0" applyFont="1" applyFill="1" applyBorder="1" applyAlignment="1">
      <alignment/>
    </xf>
    <xf numFmtId="9" fontId="34" fillId="31" borderId="39" xfId="0" applyNumberFormat="1" applyFont="1" applyFill="1" applyBorder="1" applyAlignment="1">
      <alignment/>
    </xf>
    <xf numFmtId="0" fontId="34" fillId="31" borderId="46" xfId="157" applyFont="1" applyFill="1" applyBorder="1" applyAlignment="1">
      <alignment horizontal="left"/>
      <protection/>
    </xf>
    <xf numFmtId="0" fontId="34" fillId="31" borderId="24" xfId="157" applyFont="1" applyFill="1" applyBorder="1" applyAlignment="1">
      <alignment horizontal="left"/>
      <protection/>
    </xf>
    <xf numFmtId="9" fontId="34" fillId="31" borderId="47" xfId="168" applyFont="1" applyFill="1" applyBorder="1" applyAlignment="1">
      <alignment/>
    </xf>
    <xf numFmtId="0" fontId="33" fillId="8" borderId="50" xfId="157" applyFont="1" applyFill="1" applyBorder="1" applyAlignment="1">
      <alignment/>
      <protection/>
    </xf>
    <xf numFmtId="0" fontId="33" fillId="8" borderId="51" xfId="157" applyFont="1" applyFill="1" applyBorder="1" applyAlignment="1">
      <alignment/>
      <protection/>
    </xf>
    <xf numFmtId="0" fontId="34" fillId="8" borderId="52" xfId="0" applyFont="1" applyFill="1" applyBorder="1" applyAlignment="1">
      <alignment horizontal="center"/>
    </xf>
    <xf numFmtId="3" fontId="33" fillId="8" borderId="53" xfId="0" applyNumberFormat="1" applyFont="1" applyFill="1" applyBorder="1" applyAlignment="1">
      <alignment horizontal="right"/>
    </xf>
    <xf numFmtId="3" fontId="33" fillId="8" borderId="54" xfId="0" applyNumberFormat="1" applyFont="1" applyFill="1" applyBorder="1" applyAlignment="1">
      <alignment horizontal="right"/>
    </xf>
    <xf numFmtId="3" fontId="33" fillId="8" borderId="51" xfId="0" applyNumberFormat="1" applyFont="1" applyFill="1" applyBorder="1" applyAlignment="1">
      <alignment horizontal="left"/>
    </xf>
    <xf numFmtId="173" fontId="33" fillId="8" borderId="52" xfId="0" applyNumberFormat="1" applyFont="1" applyFill="1" applyBorder="1" applyAlignment="1">
      <alignment horizontal="right"/>
    </xf>
    <xf numFmtId="0" fontId="33" fillId="8" borderId="52" xfId="0" applyFont="1" applyFill="1" applyBorder="1" applyAlignment="1">
      <alignment horizontal="center"/>
    </xf>
    <xf numFmtId="0" fontId="34" fillId="8" borderId="55" xfId="0" applyFont="1" applyFill="1" applyBorder="1" applyAlignment="1">
      <alignment/>
    </xf>
    <xf numFmtId="0" fontId="33" fillId="0" borderId="43" xfId="157" applyFont="1" applyBorder="1" applyAlignment="1">
      <alignment horizontal="center"/>
      <protection/>
    </xf>
    <xf numFmtId="0" fontId="33" fillId="0" borderId="44" xfId="157" applyFont="1" applyBorder="1" applyAlignment="1">
      <alignment horizontal="center"/>
      <protection/>
    </xf>
    <xf numFmtId="0" fontId="33" fillId="0" borderId="45" xfId="157" applyFont="1" applyBorder="1" applyAlignment="1">
      <alignment horizontal="center"/>
      <protection/>
    </xf>
    <xf numFmtId="0" fontId="33" fillId="15" borderId="43" xfId="157" applyFont="1" applyFill="1" applyBorder="1" applyAlignment="1">
      <alignment horizontal="center" vertical="center"/>
      <protection/>
    </xf>
    <xf numFmtId="0" fontId="33" fillId="15" borderId="44" xfId="157" applyFont="1" applyFill="1" applyBorder="1" applyAlignment="1">
      <alignment horizontal="center" vertical="center"/>
      <protection/>
    </xf>
    <xf numFmtId="0" fontId="33" fillId="15" borderId="45" xfId="157" applyFont="1" applyFill="1" applyBorder="1" applyAlignment="1">
      <alignment horizontal="center" vertical="center"/>
      <protection/>
    </xf>
    <xf numFmtId="0" fontId="33" fillId="15" borderId="56" xfId="157" applyFont="1" applyFill="1" applyBorder="1" applyAlignment="1">
      <alignment vertical="center"/>
      <protection/>
    </xf>
    <xf numFmtId="0" fontId="33" fillId="15" borderId="57" xfId="157" applyFont="1" applyFill="1" applyBorder="1" applyAlignment="1">
      <alignment vertical="center"/>
      <protection/>
    </xf>
    <xf numFmtId="0" fontId="33" fillId="15" borderId="58" xfId="157" applyFont="1" applyFill="1" applyBorder="1" applyAlignment="1">
      <alignment vertical="center"/>
      <protection/>
    </xf>
    <xf numFmtId="0" fontId="34" fillId="31" borderId="59" xfId="0" applyFont="1" applyFill="1" applyBorder="1" applyAlignment="1">
      <alignment horizontal="left"/>
    </xf>
    <xf numFmtId="0" fontId="34" fillId="31" borderId="52" xfId="0" applyFont="1" applyFill="1" applyBorder="1" applyAlignment="1">
      <alignment horizontal="left"/>
    </xf>
    <xf numFmtId="0" fontId="34" fillId="31" borderId="52" xfId="0" applyFont="1" applyFill="1" applyBorder="1" applyAlignment="1">
      <alignment horizontal="left"/>
    </xf>
    <xf numFmtId="0" fontId="34" fillId="31" borderId="52" xfId="0" applyFont="1" applyFill="1" applyBorder="1" applyAlignment="1">
      <alignment horizontal="center"/>
    </xf>
    <xf numFmtId="0" fontId="30" fillId="31" borderId="52" xfId="0" applyFont="1" applyFill="1" applyBorder="1" applyAlignment="1">
      <alignment horizontal="center"/>
    </xf>
    <xf numFmtId="3" fontId="34" fillId="31" borderId="52" xfId="0" applyNumberFormat="1" applyFont="1" applyFill="1" applyBorder="1" applyAlignment="1">
      <alignment horizontal="right"/>
    </xf>
    <xf numFmtId="173" fontId="34" fillId="31" borderId="52" xfId="0" applyNumberFormat="1" applyFont="1" applyFill="1" applyBorder="1" applyAlignment="1">
      <alignment/>
    </xf>
    <xf numFmtId="9" fontId="34" fillId="31" borderId="55" xfId="0" applyNumberFormat="1" applyFont="1" applyFill="1" applyBorder="1" applyAlignment="1">
      <alignment/>
    </xf>
    <xf numFmtId="0" fontId="33" fillId="15" borderId="60" xfId="0" applyFont="1" applyFill="1" applyBorder="1" applyAlignment="1">
      <alignment horizontal="left"/>
    </xf>
    <xf numFmtId="0" fontId="33" fillId="15" borderId="61" xfId="0" applyFont="1" applyFill="1" applyBorder="1" applyAlignment="1">
      <alignment horizontal="left"/>
    </xf>
    <xf numFmtId="0" fontId="33" fillId="15" borderId="62" xfId="0" applyFont="1" applyFill="1" applyBorder="1" applyAlignment="1">
      <alignment horizontal="left"/>
    </xf>
    <xf numFmtId="0" fontId="34" fillId="31" borderId="63" xfId="0" applyFont="1" applyFill="1" applyBorder="1" applyAlignment="1">
      <alignment horizontal="left"/>
    </xf>
    <xf numFmtId="0" fontId="34" fillId="31" borderId="64" xfId="0" applyFont="1" applyFill="1" applyBorder="1" applyAlignment="1">
      <alignment horizontal="left"/>
    </xf>
    <xf numFmtId="0" fontId="34" fillId="31" borderId="36" xfId="0" applyFont="1" applyFill="1" applyBorder="1" applyAlignment="1">
      <alignment horizontal="left"/>
    </xf>
    <xf numFmtId="0" fontId="34" fillId="31" borderId="24" xfId="0" applyFont="1" applyFill="1" applyBorder="1" applyAlignment="1">
      <alignment/>
    </xf>
    <xf numFmtId="9" fontId="34" fillId="31" borderId="47" xfId="0" applyNumberFormat="1" applyFont="1" applyFill="1" applyBorder="1" applyAlignment="1">
      <alignment/>
    </xf>
    <xf numFmtId="0" fontId="34" fillId="0" borderId="43" xfId="157" applyFont="1" applyBorder="1" applyAlignment="1">
      <alignment horizontal="center"/>
      <protection/>
    </xf>
    <xf numFmtId="0" fontId="34" fillId="0" borderId="44" xfId="157" applyFont="1" applyBorder="1" applyAlignment="1">
      <alignment horizontal="center"/>
      <protection/>
    </xf>
    <xf numFmtId="0" fontId="34" fillId="0" borderId="45" xfId="157" applyFont="1" applyBorder="1" applyAlignment="1">
      <alignment horizontal="center"/>
      <protection/>
    </xf>
    <xf numFmtId="0" fontId="33" fillId="15" borderId="56" xfId="0" applyFont="1" applyFill="1" applyBorder="1" applyAlignment="1">
      <alignment horizontal="center" vertical="center"/>
    </xf>
    <xf numFmtId="0" fontId="33" fillId="15" borderId="57" xfId="0" applyFont="1" applyFill="1" applyBorder="1" applyAlignment="1">
      <alignment horizontal="center" vertical="center"/>
    </xf>
    <xf numFmtId="0" fontId="33" fillId="15" borderId="58" xfId="0" applyFont="1" applyFill="1" applyBorder="1" applyAlignment="1">
      <alignment horizontal="center" vertical="center"/>
    </xf>
    <xf numFmtId="0" fontId="33" fillId="15" borderId="65" xfId="0" applyFont="1" applyFill="1" applyBorder="1" applyAlignment="1">
      <alignment horizontal="left"/>
    </xf>
    <xf numFmtId="0" fontId="33" fillId="15" borderId="41" xfId="0" applyFont="1" applyFill="1" applyBorder="1" applyAlignment="1">
      <alignment horizontal="left"/>
    </xf>
    <xf numFmtId="0" fontId="33" fillId="15" borderId="42" xfId="0" applyFont="1" applyFill="1" applyBorder="1" applyAlignment="1">
      <alignment horizontal="left"/>
    </xf>
    <xf numFmtId="0" fontId="35" fillId="31" borderId="38" xfId="0" applyFont="1" applyFill="1" applyBorder="1" applyAlignment="1">
      <alignment horizontal="left"/>
    </xf>
    <xf numFmtId="0" fontId="35" fillId="31" borderId="23" xfId="0" applyFont="1" applyFill="1" applyBorder="1" applyAlignment="1">
      <alignment horizontal="left"/>
    </xf>
    <xf numFmtId="0" fontId="34" fillId="31" borderId="66" xfId="0" applyFont="1" applyFill="1" applyBorder="1" applyAlignment="1">
      <alignment horizontal="left"/>
    </xf>
    <xf numFmtId="0" fontId="35" fillId="31" borderId="49" xfId="0" applyFont="1" applyFill="1" applyBorder="1" applyAlignment="1">
      <alignment horizontal="left"/>
    </xf>
    <xf numFmtId="0" fontId="34" fillId="31" borderId="63" xfId="0" applyFont="1" applyFill="1" applyBorder="1" applyAlignment="1">
      <alignment horizontal="left"/>
    </xf>
    <xf numFmtId="0" fontId="34" fillId="31" borderId="64" xfId="0" applyFont="1" applyFill="1" applyBorder="1" applyAlignment="1">
      <alignment horizontal="left"/>
    </xf>
    <xf numFmtId="0" fontId="34" fillId="31" borderId="67" xfId="0" applyFont="1" applyFill="1" applyBorder="1" applyAlignment="1">
      <alignment horizontal="left"/>
    </xf>
    <xf numFmtId="0" fontId="34" fillId="31" borderId="68" xfId="0" applyFont="1" applyFill="1" applyBorder="1" applyAlignment="1">
      <alignment horizontal="left"/>
    </xf>
    <xf numFmtId="0" fontId="30" fillId="31" borderId="36" xfId="0" applyFont="1" applyFill="1" applyBorder="1" applyAlignment="1">
      <alignment horizontal="center"/>
    </xf>
    <xf numFmtId="0" fontId="34" fillId="31" borderId="46" xfId="0" applyFont="1" applyFill="1" applyBorder="1" applyAlignment="1">
      <alignment horizontal="left"/>
    </xf>
    <xf numFmtId="0" fontId="34" fillId="31" borderId="24" xfId="0" applyFont="1" applyFill="1" applyBorder="1" applyAlignment="1">
      <alignment horizontal="left"/>
    </xf>
    <xf numFmtId="0" fontId="34" fillId="31" borderId="24" xfId="0" applyFont="1" applyFill="1" applyBorder="1" applyAlignment="1">
      <alignment horizontal="left"/>
    </xf>
    <xf numFmtId="0" fontId="33" fillId="15" borderId="69" xfId="0" applyFont="1" applyFill="1" applyBorder="1" applyAlignment="1">
      <alignment horizontal="left"/>
    </xf>
    <xf numFmtId="0" fontId="33" fillId="15" borderId="70" xfId="0" applyFont="1" applyFill="1" applyBorder="1" applyAlignment="1">
      <alignment horizontal="left"/>
    </xf>
    <xf numFmtId="0" fontId="33" fillId="15" borderId="71" xfId="0" applyFont="1" applyFill="1" applyBorder="1" applyAlignment="1">
      <alignment horizontal="left"/>
    </xf>
    <xf numFmtId="0" fontId="34" fillId="31" borderId="35" xfId="0" applyFont="1" applyFill="1" applyBorder="1" applyAlignment="1">
      <alignment horizontal="left"/>
    </xf>
    <xf numFmtId="0" fontId="34" fillId="31" borderId="36" xfId="0" applyFont="1" applyFill="1" applyBorder="1" applyAlignment="1">
      <alignment horizontal="left"/>
    </xf>
    <xf numFmtId="0" fontId="34" fillId="31" borderId="38" xfId="0" applyFont="1" applyFill="1" applyBorder="1" applyAlignment="1">
      <alignment horizontal="left"/>
    </xf>
    <xf numFmtId="0" fontId="34" fillId="31" borderId="23" xfId="0" applyFont="1" applyFill="1" applyBorder="1" applyAlignment="1">
      <alignment horizontal="left"/>
    </xf>
    <xf numFmtId="0" fontId="34" fillId="31" borderId="49" xfId="0" applyFont="1" applyFill="1" applyBorder="1" applyAlignment="1">
      <alignment horizontal="left"/>
    </xf>
    <xf numFmtId="0" fontId="34" fillId="31" borderId="46" xfId="157" applyFont="1" applyFill="1" applyBorder="1" applyAlignment="1">
      <alignment horizontal="left"/>
      <protection/>
    </xf>
    <xf numFmtId="0" fontId="33" fillId="15" borderId="56" xfId="0" applyFont="1" applyFill="1" applyBorder="1" applyAlignment="1">
      <alignment horizontal="left"/>
    </xf>
    <xf numFmtId="0" fontId="33" fillId="15" borderId="57" xfId="0" applyFont="1" applyFill="1" applyBorder="1" applyAlignment="1">
      <alignment horizontal="left"/>
    </xf>
    <xf numFmtId="0" fontId="33" fillId="15" borderId="58" xfId="0" applyFont="1" applyFill="1" applyBorder="1" applyAlignment="1">
      <alignment horizontal="left"/>
    </xf>
    <xf numFmtId="0" fontId="34" fillId="31" borderId="72" xfId="0" applyFont="1" applyFill="1" applyBorder="1" applyAlignment="1">
      <alignment horizontal="left"/>
    </xf>
    <xf numFmtId="0" fontId="34" fillId="31" borderId="21" xfId="0" applyFont="1" applyFill="1" applyBorder="1" applyAlignment="1">
      <alignment horizontal="left"/>
    </xf>
    <xf numFmtId="0" fontId="34" fillId="31" borderId="21" xfId="0" applyFont="1" applyFill="1" applyBorder="1" applyAlignment="1">
      <alignment horizontal="left"/>
    </xf>
    <xf numFmtId="0" fontId="34" fillId="31" borderId="22" xfId="0" applyFont="1" applyFill="1" applyBorder="1" applyAlignment="1">
      <alignment horizontal="center"/>
    </xf>
    <xf numFmtId="3" fontId="34" fillId="31" borderId="22" xfId="0" applyNumberFormat="1" applyFont="1" applyFill="1" applyBorder="1" applyAlignment="1">
      <alignment horizontal="right"/>
    </xf>
    <xf numFmtId="2" fontId="34" fillId="31" borderId="22" xfId="0" applyNumberFormat="1" applyFont="1" applyFill="1" applyBorder="1" applyAlignment="1">
      <alignment/>
    </xf>
    <xf numFmtId="9" fontId="34" fillId="31" borderId="73" xfId="0" applyNumberFormat="1" applyFont="1" applyFill="1" applyBorder="1" applyAlignment="1">
      <alignment/>
    </xf>
    <xf numFmtId="0" fontId="30" fillId="31" borderId="22" xfId="0" applyFont="1" applyFill="1" applyBorder="1" applyAlignment="1">
      <alignment horizontal="center"/>
    </xf>
    <xf numFmtId="0" fontId="33" fillId="8" borderId="50" xfId="0" applyFont="1" applyFill="1" applyBorder="1" applyAlignment="1">
      <alignment horizontal="left"/>
    </xf>
    <xf numFmtId="0" fontId="33" fillId="8" borderId="51" xfId="0" applyFont="1" applyFill="1" applyBorder="1" applyAlignment="1">
      <alignment horizontal="left"/>
    </xf>
    <xf numFmtId="0" fontId="33" fillId="8" borderId="51" xfId="0" applyFont="1" applyFill="1" applyBorder="1" applyAlignment="1">
      <alignment horizontal="left"/>
    </xf>
    <xf numFmtId="0" fontId="30" fillId="8" borderId="52" xfId="0" applyFont="1" applyFill="1" applyBorder="1" applyAlignment="1">
      <alignment horizontal="center"/>
    </xf>
    <xf numFmtId="3" fontId="33" fillId="8" borderId="52" xfId="0" applyNumberFormat="1" applyFont="1" applyFill="1" applyBorder="1" applyAlignment="1">
      <alignment horizontal="right"/>
    </xf>
    <xf numFmtId="3" fontId="34" fillId="8" borderId="52" xfId="0" applyNumberFormat="1" applyFont="1" applyFill="1" applyBorder="1" applyAlignment="1">
      <alignment horizontal="right"/>
    </xf>
    <xf numFmtId="9" fontId="34" fillId="8" borderId="55" xfId="0" applyNumberFormat="1" applyFont="1" applyFill="1" applyBorder="1" applyAlignment="1">
      <alignment/>
    </xf>
    <xf numFmtId="0" fontId="34" fillId="0" borderId="43" xfId="0" applyFont="1" applyBorder="1" applyAlignment="1">
      <alignment horizontal="center"/>
    </xf>
    <xf numFmtId="0" fontId="34" fillId="0" borderId="44" xfId="0" applyFont="1" applyBorder="1" applyAlignment="1">
      <alignment horizontal="center"/>
    </xf>
    <xf numFmtId="0" fontId="34" fillId="0" borderId="45" xfId="0" applyFont="1" applyBorder="1" applyAlignment="1">
      <alignment horizontal="center"/>
    </xf>
    <xf numFmtId="0" fontId="33" fillId="15" borderId="43" xfId="0" applyFont="1" applyFill="1" applyBorder="1" applyAlignment="1">
      <alignment horizontal="center" vertical="center"/>
    </xf>
    <xf numFmtId="0" fontId="33" fillId="15" borderId="44" xfId="0" applyFont="1" applyFill="1" applyBorder="1" applyAlignment="1">
      <alignment horizontal="center" vertical="center"/>
    </xf>
    <xf numFmtId="0" fontId="33" fillId="15" borderId="45" xfId="0" applyFont="1" applyFill="1" applyBorder="1" applyAlignment="1">
      <alignment horizontal="center" vertical="center"/>
    </xf>
    <xf numFmtId="0" fontId="34" fillId="31" borderId="74" xfId="0" applyFont="1" applyFill="1" applyBorder="1" applyAlignment="1">
      <alignment/>
    </xf>
    <xf numFmtId="0" fontId="34" fillId="31" borderId="22" xfId="0" applyFont="1" applyFill="1" applyBorder="1" applyAlignment="1">
      <alignment/>
    </xf>
    <xf numFmtId="0" fontId="34" fillId="31" borderId="22" xfId="0" applyFont="1" applyFill="1" applyBorder="1" applyAlignment="1">
      <alignment/>
    </xf>
    <xf numFmtId="173" fontId="34" fillId="31" borderId="22" xfId="0" applyNumberFormat="1" applyFont="1" applyFill="1" applyBorder="1" applyAlignment="1">
      <alignment/>
    </xf>
    <xf numFmtId="9" fontId="34" fillId="31" borderId="39" xfId="168" applyFont="1" applyFill="1" applyBorder="1" applyAlignment="1">
      <alignment/>
    </xf>
    <xf numFmtId="0" fontId="33" fillId="15" borderId="75" xfId="0" applyFont="1" applyFill="1" applyBorder="1" applyAlignment="1">
      <alignment horizontal="left"/>
    </xf>
    <xf numFmtId="0" fontId="33" fillId="15" borderId="76" xfId="0" applyFont="1" applyFill="1" applyBorder="1" applyAlignment="1">
      <alignment horizontal="left"/>
    </xf>
    <xf numFmtId="0" fontId="33" fillId="15" borderId="77" xfId="0" applyFont="1" applyFill="1" applyBorder="1" applyAlignment="1">
      <alignment horizontal="left"/>
    </xf>
    <xf numFmtId="0" fontId="34" fillId="31" borderId="23" xfId="0" applyFont="1" applyFill="1" applyBorder="1" applyAlignment="1">
      <alignment horizontal="left"/>
    </xf>
    <xf numFmtId="0" fontId="28" fillId="8" borderId="78" xfId="0" applyFont="1" applyFill="1" applyBorder="1" applyAlignment="1">
      <alignment horizontal="left"/>
    </xf>
    <xf numFmtId="0" fontId="28" fillId="8" borderId="40" xfId="0" applyFont="1" applyFill="1" applyBorder="1" applyAlignment="1">
      <alignment horizontal="left"/>
    </xf>
    <xf numFmtId="0" fontId="28" fillId="8" borderId="40" xfId="0" applyFont="1" applyFill="1" applyBorder="1" applyAlignment="1">
      <alignment horizontal="left"/>
    </xf>
    <xf numFmtId="0" fontId="29" fillId="8" borderId="41" xfId="0" applyFont="1" applyFill="1" applyBorder="1" applyAlignment="1">
      <alignment horizontal="center"/>
    </xf>
    <xf numFmtId="3" fontId="28" fillId="8" borderId="41" xfId="0" applyNumberFormat="1" applyFont="1" applyFill="1" applyBorder="1" applyAlignment="1">
      <alignment horizontal="right"/>
    </xf>
    <xf numFmtId="3" fontId="29" fillId="8" borderId="41" xfId="0" applyNumberFormat="1" applyFont="1" applyFill="1" applyBorder="1" applyAlignment="1">
      <alignment horizontal="right"/>
    </xf>
    <xf numFmtId="173" fontId="28" fillId="8" borderId="41" xfId="0" applyNumberFormat="1" applyFont="1" applyFill="1" applyBorder="1" applyAlignment="1">
      <alignment horizontal="right"/>
    </xf>
    <xf numFmtId="0" fontId="28" fillId="8" borderId="41" xfId="0" applyFont="1" applyFill="1" applyBorder="1" applyAlignment="1">
      <alignment horizontal="center"/>
    </xf>
    <xf numFmtId="0" fontId="29" fillId="8" borderId="41" xfId="0" applyFont="1" applyFill="1" applyBorder="1" applyAlignment="1">
      <alignment/>
    </xf>
    <xf numFmtId="0" fontId="28" fillId="0" borderId="0" xfId="0" applyFont="1" applyBorder="1" applyAlignment="1">
      <alignment horizontal="left"/>
    </xf>
    <xf numFmtId="2" fontId="28" fillId="0" borderId="0" xfId="0" applyNumberFormat="1" applyFont="1" applyBorder="1" applyAlignment="1">
      <alignment/>
    </xf>
    <xf numFmtId="0" fontId="29" fillId="0" borderId="0" xfId="0" applyFont="1" applyBorder="1" applyAlignment="1">
      <alignment horizontal="left"/>
    </xf>
    <xf numFmtId="0" fontId="29" fillId="0" borderId="0" xfId="0" applyFont="1" applyBorder="1" applyAlignment="1">
      <alignment horizontal="center"/>
    </xf>
    <xf numFmtId="9" fontId="29" fillId="0" borderId="0" xfId="168" applyFont="1" applyBorder="1" applyAlignment="1">
      <alignment/>
    </xf>
    <xf numFmtId="3" fontId="29" fillId="0" borderId="0" xfId="0" applyNumberFormat="1" applyFont="1" applyBorder="1" applyAlignment="1">
      <alignment/>
    </xf>
    <xf numFmtId="175" fontId="29" fillId="0" borderId="0" xfId="0" applyNumberFormat="1" applyFont="1" applyBorder="1" applyAlignment="1">
      <alignment horizontal="right"/>
    </xf>
    <xf numFmtId="10" fontId="29" fillId="0" borderId="0" xfId="0" applyNumberFormat="1" applyFont="1" applyBorder="1" applyAlignment="1">
      <alignment/>
    </xf>
  </cellXfs>
  <cellStyles count="167">
    <cellStyle name="Normal" xfId="0"/>
    <cellStyle name="20% - Accent1" xfId="15"/>
    <cellStyle name="20% - Accent2" xfId="16"/>
    <cellStyle name="20% - Accent2 2" xfId="17"/>
    <cellStyle name="20% - Accent2 3" xfId="18"/>
    <cellStyle name="20% - Accent2 4" xfId="19"/>
    <cellStyle name="20% - Accent2_Africa" xfId="20"/>
    <cellStyle name="20% - Accent3" xfId="21"/>
    <cellStyle name="20% - Accent3 2" xfId="22"/>
    <cellStyle name="20% - Accent3 3" xfId="23"/>
    <cellStyle name="20% - Accent3 4" xfId="24"/>
    <cellStyle name="20% - Accent3_Africa" xfId="25"/>
    <cellStyle name="20% - Accent4" xfId="26"/>
    <cellStyle name="20% - Accent4 2" xfId="27"/>
    <cellStyle name="20% - Accent4 3" xfId="28"/>
    <cellStyle name="20% - Accent4 4" xfId="29"/>
    <cellStyle name="20% - Accent4_Africa" xfId="30"/>
    <cellStyle name="20% - Accent5" xfId="31"/>
    <cellStyle name="20% - Accent5 2" xfId="32"/>
    <cellStyle name="20% - Accent5 3" xfId="33"/>
    <cellStyle name="20% - Accent5 4" xfId="34"/>
    <cellStyle name="20% - Accent5_Africa" xfId="35"/>
    <cellStyle name="20% - Accent6" xfId="36"/>
    <cellStyle name="40% - Accent1" xfId="37"/>
    <cellStyle name="40% - Accent1 2" xfId="38"/>
    <cellStyle name="40% - Accent1 3" xfId="39"/>
    <cellStyle name="40% - Accent1 4" xfId="40"/>
    <cellStyle name="40% - Accent1_Africa" xfId="41"/>
    <cellStyle name="40% - Accent2" xfId="42"/>
    <cellStyle name="40% - Accent2 2" xfId="43"/>
    <cellStyle name="40% - Accent2 3" xfId="44"/>
    <cellStyle name="40% - Accent2 4" xfId="45"/>
    <cellStyle name="40% - Accent2_Africa" xfId="46"/>
    <cellStyle name="40% - Accent3" xfId="47"/>
    <cellStyle name="40% - Accent3 2" xfId="48"/>
    <cellStyle name="40% - Accent3 3" xfId="49"/>
    <cellStyle name="40% - Accent3 4" xfId="50"/>
    <cellStyle name="40% - Accent3_Africa" xfId="51"/>
    <cellStyle name="40% - Accent4" xfId="52"/>
    <cellStyle name="40% - Accent4 2" xfId="53"/>
    <cellStyle name="40% - Accent4 3" xfId="54"/>
    <cellStyle name="40% - Accent4 4" xfId="55"/>
    <cellStyle name="40% - Accent4_Africa" xfId="56"/>
    <cellStyle name="40% - Accent5" xfId="57"/>
    <cellStyle name="40% - Accent5 2" xfId="58"/>
    <cellStyle name="40% - Accent5 3" xfId="59"/>
    <cellStyle name="40% - Accent5 4" xfId="60"/>
    <cellStyle name="40% - Accent5_Africa" xfId="61"/>
    <cellStyle name="40% - Accent6" xfId="62"/>
    <cellStyle name="40% - Accent6 2" xfId="63"/>
    <cellStyle name="40% - Accent6 3" xfId="64"/>
    <cellStyle name="40% - Accent6 4" xfId="65"/>
    <cellStyle name="40% - Accent6_Africa" xfId="66"/>
    <cellStyle name="60% - Accent1" xfId="67"/>
    <cellStyle name="60% - Accent2" xfId="68"/>
    <cellStyle name="60% - Accent2 2" xfId="69"/>
    <cellStyle name="60% - Accent2 3" xfId="70"/>
    <cellStyle name="60% - Accent2 4" xfId="71"/>
    <cellStyle name="60% - Accent2_Africa" xfId="72"/>
    <cellStyle name="60% - Accent3" xfId="73"/>
    <cellStyle name="60% - Accent3 2" xfId="74"/>
    <cellStyle name="60% - Accent3 3" xfId="75"/>
    <cellStyle name="60% - Accent3 4" xfId="76"/>
    <cellStyle name="60% - Accent3_Africa" xfId="77"/>
    <cellStyle name="60% - Accent4" xfId="78"/>
    <cellStyle name="60% - Accent4 2" xfId="79"/>
    <cellStyle name="60% - Accent4 3" xfId="80"/>
    <cellStyle name="60% - Accent4 4" xfId="81"/>
    <cellStyle name="60% - Accent4_Africa" xfId="82"/>
    <cellStyle name="60% - Accent5" xfId="83"/>
    <cellStyle name="60% - Accent5 2" xfId="84"/>
    <cellStyle name="60% - Accent5 3" xfId="85"/>
    <cellStyle name="60% - Accent5 4" xfId="86"/>
    <cellStyle name="60% - Accent5_Africa" xfId="87"/>
    <cellStyle name="60% - Accent6" xfId="88"/>
    <cellStyle name="60% - Accent6 2" xfId="89"/>
    <cellStyle name="60% - Accent6 3" xfId="90"/>
    <cellStyle name="60% - Accent6 4" xfId="91"/>
    <cellStyle name="60% - Accent6_Africa" xfId="92"/>
    <cellStyle name="Accent1" xfId="93"/>
    <cellStyle name="Accent1 2" xfId="94"/>
    <cellStyle name="Accent1 3" xfId="95"/>
    <cellStyle name="Accent1 4" xfId="96"/>
    <cellStyle name="Accent1_Africa" xfId="97"/>
    <cellStyle name="Accent2" xfId="98"/>
    <cellStyle name="Accent2 2" xfId="99"/>
    <cellStyle name="Accent2 3" xfId="100"/>
    <cellStyle name="Accent2 4" xfId="101"/>
    <cellStyle name="Accent2_Africa" xfId="102"/>
    <cellStyle name="Accent3" xfId="103"/>
    <cellStyle name="Accent4" xfId="104"/>
    <cellStyle name="Accent4 2" xfId="105"/>
    <cellStyle name="Accent4 3" xfId="106"/>
    <cellStyle name="Accent4 4" xfId="107"/>
    <cellStyle name="Accent4_Africa" xfId="108"/>
    <cellStyle name="Accent5" xfId="109"/>
    <cellStyle name="Accent6" xfId="110"/>
    <cellStyle name="Bad" xfId="111"/>
    <cellStyle name="Bad 2" xfId="112"/>
    <cellStyle name="Bad 3" xfId="113"/>
    <cellStyle name="Bad 4" xfId="114"/>
    <cellStyle name="Bad_Africa" xfId="115"/>
    <cellStyle name="Calculation" xfId="116"/>
    <cellStyle name="Calculation 2" xfId="117"/>
    <cellStyle name="Calculation 3" xfId="118"/>
    <cellStyle name="Calculation 4" xfId="119"/>
    <cellStyle name="Calculation_Africa" xfId="120"/>
    <cellStyle name="Check Cell" xfId="121"/>
    <cellStyle name="Comma" xfId="122"/>
    <cellStyle name="Comma [0]" xfId="123"/>
    <cellStyle name="Currency" xfId="124"/>
    <cellStyle name="Currency [0]" xfId="125"/>
    <cellStyle name="Euro" xfId="126"/>
    <cellStyle name="Explanatory Text" xfId="127"/>
    <cellStyle name="Followed Hyperlink" xfId="128"/>
    <cellStyle name="Good" xfId="129"/>
    <cellStyle name="Heading 1" xfId="130"/>
    <cellStyle name="Heading 1 2" xfId="131"/>
    <cellStyle name="Heading 1 3" xfId="132"/>
    <cellStyle name="Heading 1 4" xfId="133"/>
    <cellStyle name="Heading 1_Africa" xfId="134"/>
    <cellStyle name="Heading 2" xfId="135"/>
    <cellStyle name="Heading 2 2" xfId="136"/>
    <cellStyle name="Heading 2 3" xfId="137"/>
    <cellStyle name="Heading 2 4" xfId="138"/>
    <cellStyle name="Heading 2_Africa" xfId="139"/>
    <cellStyle name="Heading 3" xfId="140"/>
    <cellStyle name="Heading 3 2" xfId="141"/>
    <cellStyle name="Heading 3 3" xfId="142"/>
    <cellStyle name="Heading 3 4" xfId="143"/>
    <cellStyle name="Heading 3_Africa" xfId="144"/>
    <cellStyle name="Heading 4" xfId="145"/>
    <cellStyle name="Heading 4 2" xfId="146"/>
    <cellStyle name="Heading 4 3" xfId="147"/>
    <cellStyle name="Heading 4 4" xfId="148"/>
    <cellStyle name="Heading 4_Africa" xfId="149"/>
    <cellStyle name="Hyperlink" xfId="150"/>
    <cellStyle name="Input" xfId="151"/>
    <cellStyle name="Linked Cell" xfId="152"/>
    <cellStyle name="Neutral" xfId="153"/>
    <cellStyle name="Normal 2" xfId="154"/>
    <cellStyle name="Normal 3" xfId="155"/>
    <cellStyle name="Normal 4" xfId="156"/>
    <cellStyle name="Normal_Sheet1" xfId="157"/>
    <cellStyle name="Note" xfId="158"/>
    <cellStyle name="Note 2" xfId="159"/>
    <cellStyle name="Note 3" xfId="160"/>
    <cellStyle name="Note 4" xfId="161"/>
    <cellStyle name="Note_Africa" xfId="162"/>
    <cellStyle name="Output" xfId="163"/>
    <cellStyle name="Output 2" xfId="164"/>
    <cellStyle name="Output 3" xfId="165"/>
    <cellStyle name="Output 4" xfId="166"/>
    <cellStyle name="Output_Africa" xfId="167"/>
    <cellStyle name="Percent" xfId="168"/>
    <cellStyle name="table_value" xfId="169"/>
    <cellStyle name="Title" xfId="170"/>
    <cellStyle name="Title 2" xfId="171"/>
    <cellStyle name="Title 3" xfId="172"/>
    <cellStyle name="Title 4" xfId="173"/>
    <cellStyle name="Title_Africa" xfId="174"/>
    <cellStyle name="Total" xfId="175"/>
    <cellStyle name="Total 2" xfId="176"/>
    <cellStyle name="Total 3" xfId="177"/>
    <cellStyle name="Total 4" xfId="178"/>
    <cellStyle name="Total_Africa" xfId="179"/>
    <cellStyle name="Warning Text" xfId="18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s\World%20Drug%20Report\WDR_2012\PrePublication\Consumption\Prev_CANNABIS_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v_All_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s\World%20Drug%20Report\WDR_2012\PrePublication\Consumption\Prev_OPIOIDS_2012_EXCEL_REPORT_portai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s\World%20Drug%20Report\WDR_2012\PrePublication\Consumption\Prev_OPIOIDS_20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REV_Youth_COMPLETE_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LOAD"/>
      <sheetName val="Instructions"/>
      <sheetName val="RESULTS"/>
      <sheetName val="TABLES"/>
      <sheetName val="Africa"/>
      <sheetName val="Americas"/>
      <sheetName val="Asia"/>
      <sheetName val="Europe"/>
      <sheetName val="Oceania"/>
      <sheetName val="LookupTables"/>
      <sheetName val="DeltaPivots"/>
      <sheetName val="PolyDrugUse"/>
      <sheetName val="EMCDDA 2011"/>
      <sheetName val="Issues"/>
    </sheetNames>
    <sheetDataSet>
      <sheetData sheetId="9">
        <row r="5">
          <cell r="O5" t="str">
            <v>Afghanistan</v>
          </cell>
          <cell r="P5">
            <v>31411.743</v>
          </cell>
          <cell r="Q5">
            <v>16118.842</v>
          </cell>
        </row>
        <row r="6">
          <cell r="O6" t="str">
            <v>Africa</v>
          </cell>
          <cell r="P6">
            <v>1022234.4</v>
          </cell>
          <cell r="Q6">
            <v>574536.137</v>
          </cell>
        </row>
        <row r="7">
          <cell r="O7" t="str">
            <v>Albania</v>
          </cell>
          <cell r="P7">
            <v>3204.284</v>
          </cell>
          <cell r="Q7">
            <v>2167.94</v>
          </cell>
        </row>
        <row r="8">
          <cell r="O8" t="str">
            <v>Algeria</v>
          </cell>
          <cell r="P8">
            <v>35468.208</v>
          </cell>
          <cell r="Q8">
            <v>24246.275</v>
          </cell>
        </row>
        <row r="9">
          <cell r="O9" t="str">
            <v>American Samoa</v>
          </cell>
          <cell r="P9">
            <v>68.42</v>
          </cell>
          <cell r="Q9">
            <v>43.72038</v>
          </cell>
        </row>
        <row r="10">
          <cell r="O10" t="str">
            <v>Andorra</v>
          </cell>
          <cell r="P10">
            <v>84.864</v>
          </cell>
          <cell r="Q10">
            <v>60.59289600000001</v>
          </cell>
        </row>
        <row r="11">
          <cell r="O11" t="str">
            <v>Angola</v>
          </cell>
          <cell r="P11">
            <v>19081.912</v>
          </cell>
          <cell r="Q11">
            <v>9721.776</v>
          </cell>
        </row>
        <row r="12">
          <cell r="O12" t="str">
            <v>Anguilla</v>
          </cell>
          <cell r="P12">
            <v>15.358</v>
          </cell>
          <cell r="Q12">
            <v>10.458798</v>
          </cell>
        </row>
        <row r="13">
          <cell r="O13" t="str">
            <v>Antigua and Barbuda</v>
          </cell>
          <cell r="P13">
            <v>88.71</v>
          </cell>
          <cell r="Q13">
            <v>59.79054</v>
          </cell>
        </row>
        <row r="14">
          <cell r="O14" t="str">
            <v>Argentina</v>
          </cell>
          <cell r="P14">
            <v>40412.376</v>
          </cell>
          <cell r="Q14">
            <v>26085.673</v>
          </cell>
        </row>
        <row r="15">
          <cell r="O15" t="str">
            <v>Armenia</v>
          </cell>
          <cell r="P15">
            <v>3092.072</v>
          </cell>
          <cell r="Q15">
            <v>2124.357</v>
          </cell>
        </row>
        <row r="16">
          <cell r="O16" t="str">
            <v>Aruba</v>
          </cell>
          <cell r="P16">
            <v>107.488</v>
          </cell>
          <cell r="Q16">
            <v>76.672</v>
          </cell>
        </row>
        <row r="17">
          <cell r="O17" t="str">
            <v>Asia</v>
          </cell>
          <cell r="P17">
            <v>4164252.297</v>
          </cell>
          <cell r="Q17">
            <v>2805440.328</v>
          </cell>
        </row>
        <row r="18">
          <cell r="O18" t="str">
            <v>Australia</v>
          </cell>
          <cell r="P18">
            <v>22268.384</v>
          </cell>
          <cell r="Q18">
            <v>15046.135</v>
          </cell>
        </row>
        <row r="19">
          <cell r="O19" t="str">
            <v>Austria</v>
          </cell>
          <cell r="P19">
            <v>8393.644</v>
          </cell>
          <cell r="Q19">
            <v>5680.641</v>
          </cell>
        </row>
        <row r="20">
          <cell r="O20" t="str">
            <v>Azerbaijan</v>
          </cell>
          <cell r="P20">
            <v>9187.783</v>
          </cell>
          <cell r="Q20">
            <v>6666.063</v>
          </cell>
        </row>
        <row r="21">
          <cell r="O21" t="str">
            <v>Bahamas</v>
          </cell>
          <cell r="P21">
            <v>342.877</v>
          </cell>
          <cell r="Q21">
            <v>242.228</v>
          </cell>
        </row>
        <row r="22">
          <cell r="O22" t="str">
            <v>Bahrain</v>
          </cell>
          <cell r="P22">
            <v>1261.835</v>
          </cell>
          <cell r="Q22">
            <v>983.004</v>
          </cell>
        </row>
        <row r="23">
          <cell r="O23" t="str">
            <v>Bangladesh</v>
          </cell>
          <cell r="P23">
            <v>148692.131</v>
          </cell>
          <cell r="Q23">
            <v>95329.163</v>
          </cell>
        </row>
        <row r="24">
          <cell r="O24" t="str">
            <v>Barbados</v>
          </cell>
          <cell r="P24">
            <v>273.331</v>
          </cell>
          <cell r="Q24">
            <v>194.583</v>
          </cell>
        </row>
        <row r="25">
          <cell r="O25" t="str">
            <v>Belarus</v>
          </cell>
          <cell r="P25">
            <v>9595.421</v>
          </cell>
          <cell r="Q25">
            <v>6854.432</v>
          </cell>
        </row>
        <row r="26">
          <cell r="O26" t="str">
            <v>Belgium</v>
          </cell>
          <cell r="P26">
            <v>10712.066</v>
          </cell>
          <cell r="Q26">
            <v>7037.858</v>
          </cell>
        </row>
        <row r="27">
          <cell r="O27" t="str">
            <v>Belize</v>
          </cell>
          <cell r="P27">
            <v>311.627</v>
          </cell>
          <cell r="Q27">
            <v>190.097</v>
          </cell>
        </row>
        <row r="28">
          <cell r="O28" t="str">
            <v>Benin</v>
          </cell>
          <cell r="P28">
            <v>8849.892</v>
          </cell>
          <cell r="Q28">
            <v>4714.055</v>
          </cell>
        </row>
        <row r="29">
          <cell r="O29" t="str">
            <v>Bermuda</v>
          </cell>
          <cell r="P29">
            <v>64.941</v>
          </cell>
          <cell r="Q29">
            <v>43.510470000000005</v>
          </cell>
        </row>
        <row r="30">
          <cell r="O30" t="str">
            <v>Bhutan</v>
          </cell>
          <cell r="P30">
            <v>725.94</v>
          </cell>
          <cell r="Q30">
            <v>477.665</v>
          </cell>
        </row>
        <row r="31">
          <cell r="O31" t="str">
            <v>Bolivia (Plurinational State of)</v>
          </cell>
          <cell r="P31">
            <v>9929.849</v>
          </cell>
          <cell r="Q31">
            <v>5882.703</v>
          </cell>
        </row>
        <row r="32">
          <cell r="O32" t="str">
            <v>Bosnia and Herzegovina</v>
          </cell>
          <cell r="P32">
            <v>3760.149</v>
          </cell>
          <cell r="Q32">
            <v>2666.734</v>
          </cell>
        </row>
        <row r="33">
          <cell r="O33" t="str">
            <v>Botswana</v>
          </cell>
          <cell r="P33">
            <v>2006.945</v>
          </cell>
          <cell r="Q33">
            <v>1273.395</v>
          </cell>
        </row>
        <row r="34">
          <cell r="O34" t="str">
            <v>Brazil</v>
          </cell>
          <cell r="P34">
            <v>194946.47</v>
          </cell>
          <cell r="Q34">
            <v>131678.692</v>
          </cell>
        </row>
        <row r="35">
          <cell r="O35" t="str">
            <v>British Virgin Islands</v>
          </cell>
          <cell r="P35">
            <v>23.245</v>
          </cell>
          <cell r="Q35">
            <v>17.224545</v>
          </cell>
        </row>
        <row r="36">
          <cell r="O36" t="str">
            <v>Brunei Darussalam</v>
          </cell>
          <cell r="P36">
            <v>398.92</v>
          </cell>
          <cell r="Q36">
            <v>280.203</v>
          </cell>
        </row>
        <row r="37">
          <cell r="O37" t="str">
            <v>Bulgaria</v>
          </cell>
          <cell r="P37">
            <v>7494.332</v>
          </cell>
          <cell r="Q37">
            <v>5153.163</v>
          </cell>
        </row>
        <row r="38">
          <cell r="O38" t="str">
            <v>Burkina Faso</v>
          </cell>
          <cell r="P38">
            <v>16468.714</v>
          </cell>
          <cell r="Q38">
            <v>8637.392</v>
          </cell>
        </row>
        <row r="39">
          <cell r="O39" t="str">
            <v>Burundi</v>
          </cell>
          <cell r="P39">
            <v>8382.849</v>
          </cell>
          <cell r="Q39">
            <v>4968.251</v>
          </cell>
        </row>
        <row r="40">
          <cell r="O40" t="str">
            <v>Cambodia</v>
          </cell>
          <cell r="P40">
            <v>14138.255</v>
          </cell>
          <cell r="Q40">
            <v>9090.27</v>
          </cell>
        </row>
        <row r="41">
          <cell r="O41" t="str">
            <v>Cameroon</v>
          </cell>
          <cell r="P41">
            <v>19598.889</v>
          </cell>
          <cell r="Q41">
            <v>10957.269</v>
          </cell>
        </row>
        <row r="42">
          <cell r="O42" t="str">
            <v>Canada</v>
          </cell>
          <cell r="P42">
            <v>34016.593</v>
          </cell>
          <cell r="Q42">
            <v>23630.141</v>
          </cell>
        </row>
        <row r="43">
          <cell r="O43" t="str">
            <v>Cape Verde</v>
          </cell>
          <cell r="P43">
            <v>495.999</v>
          </cell>
          <cell r="Q43">
            <v>308.989</v>
          </cell>
        </row>
        <row r="44">
          <cell r="O44" t="str">
            <v>Caribbean Region</v>
          </cell>
          <cell r="P44">
            <v>41646.07</v>
          </cell>
          <cell r="Q44">
            <v>27070.72</v>
          </cell>
        </row>
        <row r="45">
          <cell r="O45" t="str">
            <v>Cayman Islands</v>
          </cell>
          <cell r="P45">
            <v>56.23</v>
          </cell>
          <cell r="Q45">
            <v>39.97953</v>
          </cell>
        </row>
        <row r="46">
          <cell r="O46" t="str">
            <v>Central African Republic</v>
          </cell>
          <cell r="P46">
            <v>4401.051</v>
          </cell>
          <cell r="Q46">
            <v>2448.737</v>
          </cell>
        </row>
        <row r="47">
          <cell r="O47" t="str">
            <v>Central America</v>
          </cell>
          <cell r="P47">
            <v>155880.99</v>
          </cell>
          <cell r="Q47">
            <v>98449.022</v>
          </cell>
        </row>
        <row r="48">
          <cell r="O48" t="str">
            <v>Chad</v>
          </cell>
          <cell r="P48">
            <v>11227.208</v>
          </cell>
          <cell r="Q48">
            <v>5802.802</v>
          </cell>
        </row>
        <row r="49">
          <cell r="O49" t="str">
            <v>Channel Islands</v>
          </cell>
          <cell r="P49">
            <v>153.352</v>
          </cell>
          <cell r="Q49">
            <v>105.603</v>
          </cell>
        </row>
        <row r="50">
          <cell r="O50" t="str">
            <v>Chile</v>
          </cell>
          <cell r="P50">
            <v>17113.688</v>
          </cell>
          <cell r="Q50">
            <v>11744.782</v>
          </cell>
        </row>
        <row r="51">
          <cell r="O51" t="str">
            <v>China</v>
          </cell>
          <cell r="P51">
            <v>1341335.152</v>
          </cell>
          <cell r="Q51">
            <v>970532.065</v>
          </cell>
        </row>
        <row r="52">
          <cell r="O52" t="str">
            <v>China, Hong Kong SAR</v>
          </cell>
          <cell r="P52">
            <v>7053.189</v>
          </cell>
          <cell r="Q52">
            <v>5343.082</v>
          </cell>
        </row>
        <row r="53">
          <cell r="O53" t="str">
            <v>China, Macao SAR</v>
          </cell>
          <cell r="P53">
            <v>543.656</v>
          </cell>
          <cell r="Q53">
            <v>434.112</v>
          </cell>
        </row>
        <row r="54">
          <cell r="O54" t="str">
            <v>Christmas Islands</v>
          </cell>
          <cell r="P54">
            <v>1.402</v>
          </cell>
          <cell r="Q54">
            <v>0.88</v>
          </cell>
        </row>
        <row r="55">
          <cell r="O55" t="str">
            <v>Cocos (Keeling) Islands</v>
          </cell>
          <cell r="P55">
            <v>0.596</v>
          </cell>
          <cell r="Q55">
            <v>0.37</v>
          </cell>
        </row>
        <row r="56">
          <cell r="O56" t="str">
            <v>Colombia</v>
          </cell>
          <cell r="P56">
            <v>46294.841</v>
          </cell>
          <cell r="Q56">
            <v>30388.807</v>
          </cell>
        </row>
        <row r="57">
          <cell r="O57" t="str">
            <v>Comoros</v>
          </cell>
          <cell r="P57">
            <v>734.75</v>
          </cell>
          <cell r="Q57">
            <v>401.677</v>
          </cell>
        </row>
        <row r="58">
          <cell r="O58" t="str">
            <v>Congo</v>
          </cell>
          <cell r="P58">
            <v>4042.899</v>
          </cell>
          <cell r="Q58">
            <v>2253.611</v>
          </cell>
        </row>
        <row r="59">
          <cell r="O59" t="str">
            <v>Congo (Dem. Rep. of the)</v>
          </cell>
          <cell r="P59">
            <v>65965.795</v>
          </cell>
          <cell r="Q59">
            <v>33678.774</v>
          </cell>
        </row>
        <row r="60">
          <cell r="O60" t="str">
            <v>Cook Islands</v>
          </cell>
          <cell r="P60">
            <v>20.288</v>
          </cell>
          <cell r="Q60">
            <v>13.1872</v>
          </cell>
        </row>
        <row r="61">
          <cell r="O61" t="str">
            <v>Costa Rica</v>
          </cell>
          <cell r="P61">
            <v>4658.887</v>
          </cell>
          <cell r="Q61">
            <v>3194.595</v>
          </cell>
        </row>
        <row r="62">
          <cell r="O62" t="str">
            <v>Côte d'Ivoire</v>
          </cell>
          <cell r="P62">
            <v>19737.8</v>
          </cell>
          <cell r="Q62">
            <v>10910.564</v>
          </cell>
        </row>
        <row r="63">
          <cell r="O63" t="str">
            <v>Croatia</v>
          </cell>
          <cell r="P63">
            <v>4403.33</v>
          </cell>
          <cell r="Q63">
            <v>2985.889</v>
          </cell>
        </row>
        <row r="64">
          <cell r="O64" t="str">
            <v>Cuba</v>
          </cell>
          <cell r="P64">
            <v>11257.979</v>
          </cell>
          <cell r="Q64">
            <v>7913.875</v>
          </cell>
        </row>
        <row r="65">
          <cell r="O65" t="str">
            <v>Cyprus</v>
          </cell>
          <cell r="P65">
            <v>1103.647</v>
          </cell>
          <cell r="Q65">
            <v>779.916</v>
          </cell>
        </row>
        <row r="66">
          <cell r="O66" t="str">
            <v>Czech Republic</v>
          </cell>
          <cell r="P66">
            <v>10492.96</v>
          </cell>
          <cell r="Q66">
            <v>7465.319</v>
          </cell>
        </row>
        <row r="67">
          <cell r="O67" t="str">
            <v>Denmark</v>
          </cell>
          <cell r="P67">
            <v>5550.142</v>
          </cell>
          <cell r="Q67">
            <v>3637.291</v>
          </cell>
        </row>
        <row r="68">
          <cell r="O68" t="str">
            <v>Djibouti</v>
          </cell>
          <cell r="P68">
            <v>888.716</v>
          </cell>
          <cell r="Q68">
            <v>541.103</v>
          </cell>
        </row>
        <row r="69">
          <cell r="O69" t="str">
            <v>Dominica</v>
          </cell>
          <cell r="P69">
            <v>67.757</v>
          </cell>
          <cell r="Q69">
            <v>45.261676</v>
          </cell>
        </row>
        <row r="70">
          <cell r="O70" t="str">
            <v>Dominican Republic</v>
          </cell>
          <cell r="P70">
            <v>9927.32</v>
          </cell>
          <cell r="Q70">
            <v>6223.805</v>
          </cell>
        </row>
        <row r="71">
          <cell r="O71" t="str">
            <v>Ecuador</v>
          </cell>
          <cell r="P71">
            <v>14464.739</v>
          </cell>
          <cell r="Q71">
            <v>9174.048</v>
          </cell>
        </row>
        <row r="72">
          <cell r="O72" t="str">
            <v>Egypt</v>
          </cell>
          <cell r="P72">
            <v>81121.077</v>
          </cell>
          <cell r="Q72">
            <v>51459.57</v>
          </cell>
        </row>
        <row r="73">
          <cell r="O73" t="str">
            <v>El Salvador</v>
          </cell>
          <cell r="P73">
            <v>6192.993</v>
          </cell>
          <cell r="Q73">
            <v>3780.159</v>
          </cell>
        </row>
        <row r="74">
          <cell r="O74" t="str">
            <v>Equatorial Guinea</v>
          </cell>
          <cell r="P74">
            <v>700.401</v>
          </cell>
          <cell r="Q74">
            <v>405.191</v>
          </cell>
        </row>
        <row r="75">
          <cell r="O75" t="str">
            <v>Eritrea</v>
          </cell>
          <cell r="P75">
            <v>5253.676</v>
          </cell>
          <cell r="Q75">
            <v>2938.061</v>
          </cell>
        </row>
        <row r="76">
          <cell r="O76" t="str">
            <v>Estonia</v>
          </cell>
          <cell r="P76">
            <v>1341.14</v>
          </cell>
          <cell r="Q76">
            <v>904.876</v>
          </cell>
        </row>
        <row r="77">
          <cell r="O77" t="str">
            <v>Ethiopia</v>
          </cell>
          <cell r="P77">
            <v>82949.541</v>
          </cell>
          <cell r="Q77">
            <v>45786.875</v>
          </cell>
        </row>
        <row r="78">
          <cell r="O78" t="str">
            <v>Europe</v>
          </cell>
          <cell r="P78">
            <v>738198.601</v>
          </cell>
          <cell r="Q78">
            <v>504780.531</v>
          </cell>
        </row>
        <row r="79">
          <cell r="O79" t="str">
            <v>Falkland Islands (Malvinas)</v>
          </cell>
          <cell r="P79">
            <v>3.017</v>
          </cell>
          <cell r="Q79">
            <v>1.994237</v>
          </cell>
        </row>
        <row r="80">
          <cell r="O80" t="str">
            <v>Fiji</v>
          </cell>
          <cell r="P80">
            <v>860.623</v>
          </cell>
          <cell r="Q80">
            <v>569.142</v>
          </cell>
        </row>
        <row r="81">
          <cell r="O81" t="str">
            <v>Finland</v>
          </cell>
          <cell r="P81">
            <v>5364.546</v>
          </cell>
          <cell r="Q81">
            <v>3552.837</v>
          </cell>
        </row>
        <row r="82">
          <cell r="O82" t="str">
            <v>France</v>
          </cell>
          <cell r="P82">
            <v>62787.427</v>
          </cell>
          <cell r="Q82">
            <v>40712.612</v>
          </cell>
        </row>
        <row r="83">
          <cell r="O83" t="str">
            <v>French Guiana</v>
          </cell>
          <cell r="P83">
            <v>231.151</v>
          </cell>
          <cell r="Q83">
            <v>143.929</v>
          </cell>
        </row>
        <row r="84">
          <cell r="O84" t="str">
            <v>French Polynesia</v>
          </cell>
          <cell r="P84">
            <v>270.764</v>
          </cell>
          <cell r="Q84">
            <v>185.05</v>
          </cell>
        </row>
        <row r="85">
          <cell r="O85" t="str">
            <v>Gabon</v>
          </cell>
          <cell r="P85">
            <v>1505.463</v>
          </cell>
          <cell r="Q85">
            <v>906.233</v>
          </cell>
        </row>
        <row r="86">
          <cell r="O86" t="str">
            <v>Gambia</v>
          </cell>
          <cell r="P86">
            <v>1728.394</v>
          </cell>
          <cell r="Q86">
            <v>930.704</v>
          </cell>
        </row>
        <row r="87">
          <cell r="O87" t="str">
            <v>Georgia</v>
          </cell>
          <cell r="P87">
            <v>4352.244</v>
          </cell>
          <cell r="Q87">
            <v>3007.698</v>
          </cell>
        </row>
        <row r="88">
          <cell r="O88" t="str">
            <v>Germany</v>
          </cell>
          <cell r="P88">
            <v>82302.465</v>
          </cell>
          <cell r="Q88">
            <v>54434.999</v>
          </cell>
        </row>
        <row r="89">
          <cell r="O89" t="str">
            <v>Ghana</v>
          </cell>
          <cell r="P89">
            <v>24391.823</v>
          </cell>
          <cell r="Q89">
            <v>14049.806</v>
          </cell>
        </row>
        <row r="90">
          <cell r="O90" t="str">
            <v>Gibraltar</v>
          </cell>
          <cell r="P90">
            <v>29.244</v>
          </cell>
          <cell r="Q90">
            <v>19.242551999999996</v>
          </cell>
        </row>
        <row r="91">
          <cell r="O91" t="str">
            <v>Greece</v>
          </cell>
          <cell r="P91">
            <v>11359.346</v>
          </cell>
          <cell r="Q91">
            <v>7596.828</v>
          </cell>
        </row>
        <row r="92">
          <cell r="O92" t="str">
            <v>Greenland</v>
          </cell>
          <cell r="P92">
            <v>57.296</v>
          </cell>
          <cell r="Q92">
            <v>40.221792</v>
          </cell>
        </row>
        <row r="93">
          <cell r="O93" t="str">
            <v>Grenada</v>
          </cell>
          <cell r="P93">
            <v>104.487</v>
          </cell>
          <cell r="Q93">
            <v>68.18</v>
          </cell>
        </row>
        <row r="94">
          <cell r="O94" t="str">
            <v>Guadeloupe</v>
          </cell>
          <cell r="P94">
            <v>460.666</v>
          </cell>
          <cell r="Q94">
            <v>299.957</v>
          </cell>
        </row>
        <row r="95">
          <cell r="O95" t="str">
            <v>Guam</v>
          </cell>
          <cell r="P95">
            <v>179.896</v>
          </cell>
          <cell r="Q95">
            <v>117.931</v>
          </cell>
        </row>
        <row r="96">
          <cell r="O96" t="str">
            <v>Guatemala</v>
          </cell>
          <cell r="P96">
            <v>14388.929</v>
          </cell>
          <cell r="Q96">
            <v>7797.099</v>
          </cell>
        </row>
        <row r="97">
          <cell r="O97" t="str">
            <v>Guinea</v>
          </cell>
          <cell r="P97">
            <v>9981.59</v>
          </cell>
          <cell r="Q97">
            <v>5367.081</v>
          </cell>
        </row>
        <row r="98">
          <cell r="O98" t="str">
            <v>Guinea-Bissau</v>
          </cell>
          <cell r="P98">
            <v>1515.224</v>
          </cell>
          <cell r="Q98">
            <v>838.84</v>
          </cell>
        </row>
        <row r="99">
          <cell r="O99" t="str">
            <v>Guyana</v>
          </cell>
          <cell r="P99">
            <v>754.493</v>
          </cell>
          <cell r="Q99">
            <v>468.68</v>
          </cell>
        </row>
        <row r="100">
          <cell r="O100" t="str">
            <v>Haiti</v>
          </cell>
          <cell r="P100">
            <v>9993.247</v>
          </cell>
          <cell r="Q100">
            <v>5961.757</v>
          </cell>
        </row>
        <row r="101">
          <cell r="O101" t="str">
            <v>Honduras</v>
          </cell>
          <cell r="P101">
            <v>7600.524</v>
          </cell>
          <cell r="Q101">
            <v>4479.107</v>
          </cell>
        </row>
        <row r="102">
          <cell r="O102" t="str">
            <v>Hungary</v>
          </cell>
          <cell r="P102">
            <v>9983.645</v>
          </cell>
          <cell r="Q102">
            <v>6865.701</v>
          </cell>
        </row>
        <row r="103">
          <cell r="O103" t="str">
            <v>Iceland</v>
          </cell>
          <cell r="P103">
            <v>320.136</v>
          </cell>
          <cell r="Q103">
            <v>215.04</v>
          </cell>
        </row>
        <row r="104">
          <cell r="O104" t="str">
            <v>India</v>
          </cell>
          <cell r="P104">
            <v>1224614.327</v>
          </cell>
          <cell r="Q104">
            <v>789749.618</v>
          </cell>
        </row>
        <row r="105">
          <cell r="O105" t="str">
            <v>Indonesia</v>
          </cell>
          <cell r="P105">
            <v>239870.937</v>
          </cell>
          <cell r="Q105">
            <v>161699.164</v>
          </cell>
        </row>
        <row r="106">
          <cell r="O106" t="str">
            <v>Iran (Islamic Republic of)</v>
          </cell>
          <cell r="P106">
            <v>73973.63</v>
          </cell>
          <cell r="Q106">
            <v>53132.124</v>
          </cell>
        </row>
        <row r="107">
          <cell r="O107" t="str">
            <v>Iraq</v>
          </cell>
          <cell r="P107">
            <v>31671.591</v>
          </cell>
          <cell r="Q107">
            <v>16967.051</v>
          </cell>
        </row>
        <row r="108">
          <cell r="O108" t="str">
            <v>Ireland</v>
          </cell>
          <cell r="P108">
            <v>4469.9</v>
          </cell>
          <cell r="Q108">
            <v>3000.801</v>
          </cell>
        </row>
        <row r="109">
          <cell r="O109" t="str">
            <v>Isle of Man</v>
          </cell>
          <cell r="P109">
            <v>82.869</v>
          </cell>
          <cell r="Q109">
            <v>54.030588</v>
          </cell>
        </row>
        <row r="110">
          <cell r="O110" t="str">
            <v>Israel</v>
          </cell>
          <cell r="P110">
            <v>7418.4</v>
          </cell>
          <cell r="Q110">
            <v>4624.72</v>
          </cell>
        </row>
        <row r="111">
          <cell r="O111" t="str">
            <v>Italy</v>
          </cell>
          <cell r="P111">
            <v>60550.848</v>
          </cell>
          <cell r="Q111">
            <v>39713.011</v>
          </cell>
        </row>
        <row r="112">
          <cell r="O112" t="str">
            <v>Jamaica</v>
          </cell>
          <cell r="P112">
            <v>2741.052</v>
          </cell>
          <cell r="Q112">
            <v>1729.609</v>
          </cell>
        </row>
        <row r="113">
          <cell r="O113" t="str">
            <v>Japan</v>
          </cell>
          <cell r="P113">
            <v>126535.92</v>
          </cell>
          <cell r="Q113">
            <v>80926.012</v>
          </cell>
        </row>
        <row r="114">
          <cell r="O114" t="str">
            <v>Jordan</v>
          </cell>
          <cell r="P114">
            <v>6187.227</v>
          </cell>
          <cell r="Q114">
            <v>3624.223</v>
          </cell>
        </row>
        <row r="115">
          <cell r="O115" t="str">
            <v>Kazakhstan</v>
          </cell>
          <cell r="P115">
            <v>16026.367</v>
          </cell>
          <cell r="Q115">
            <v>11015.014</v>
          </cell>
        </row>
        <row r="116">
          <cell r="O116" t="str">
            <v>Kenya</v>
          </cell>
          <cell r="P116">
            <v>40512.682</v>
          </cell>
          <cell r="Q116">
            <v>22237.983</v>
          </cell>
        </row>
        <row r="117">
          <cell r="O117" t="str">
            <v>Kiribati</v>
          </cell>
          <cell r="P117">
            <v>99.546</v>
          </cell>
          <cell r="Q117">
            <v>62.116704000000006</v>
          </cell>
        </row>
        <row r="118">
          <cell r="O118" t="str">
            <v>Korea (Dem. People's Rep.)</v>
          </cell>
          <cell r="P118">
            <v>24346.229</v>
          </cell>
          <cell r="Q118">
            <v>16460.783</v>
          </cell>
        </row>
        <row r="119">
          <cell r="O119" t="str">
            <v>Korea (Republic of)</v>
          </cell>
          <cell r="P119">
            <v>48183.584</v>
          </cell>
          <cell r="Q119">
            <v>34896.444</v>
          </cell>
        </row>
        <row r="120">
          <cell r="O120" t="str">
            <v>Kuwait</v>
          </cell>
          <cell r="P120">
            <v>2736.732</v>
          </cell>
          <cell r="Q120">
            <v>1937.224</v>
          </cell>
        </row>
        <row r="121">
          <cell r="O121" t="str">
            <v>Kyrgyzstan</v>
          </cell>
          <cell r="P121">
            <v>5334.223</v>
          </cell>
          <cell r="Q121">
            <v>3495.167</v>
          </cell>
        </row>
        <row r="122">
          <cell r="O122" t="str">
            <v>Lao People's Democratic Republic</v>
          </cell>
          <cell r="P122">
            <v>6200.894</v>
          </cell>
          <cell r="Q122">
            <v>3820.949</v>
          </cell>
        </row>
        <row r="123">
          <cell r="O123" t="str">
            <v>Latin America &amp; Caribbean</v>
          </cell>
          <cell r="P123">
            <v>590082.023</v>
          </cell>
          <cell r="Q123">
            <v>384951.312</v>
          </cell>
        </row>
        <row r="124">
          <cell r="O124" t="str">
            <v>Latvia</v>
          </cell>
          <cell r="P124">
            <v>2252.06</v>
          </cell>
          <cell r="Q124">
            <v>1539.373</v>
          </cell>
        </row>
        <row r="125">
          <cell r="O125" t="str">
            <v>Least developed countries</v>
          </cell>
          <cell r="P125">
            <v>832329.577</v>
          </cell>
          <cell r="Q125">
            <v>469955.37</v>
          </cell>
        </row>
        <row r="126">
          <cell r="O126" t="str">
            <v>Lebanon</v>
          </cell>
          <cell r="P126">
            <v>4227.597</v>
          </cell>
          <cell r="Q126">
            <v>2871.257</v>
          </cell>
        </row>
        <row r="127">
          <cell r="O127" t="str">
            <v>Lesotho</v>
          </cell>
          <cell r="P127">
            <v>2171.318</v>
          </cell>
          <cell r="Q127">
            <v>1266.273</v>
          </cell>
        </row>
        <row r="128">
          <cell r="O128" t="str">
            <v>Liberia</v>
          </cell>
          <cell r="P128">
            <v>3994.122</v>
          </cell>
          <cell r="Q128">
            <v>2145.355</v>
          </cell>
        </row>
        <row r="129">
          <cell r="O129" t="str">
            <v>Libyan Arab Jamahiriya</v>
          </cell>
          <cell r="P129">
            <v>6355.112</v>
          </cell>
          <cell r="Q129">
            <v>4148.362</v>
          </cell>
        </row>
        <row r="130">
          <cell r="O130" t="str">
            <v>Liechtenstein</v>
          </cell>
          <cell r="P130">
            <v>36.032</v>
          </cell>
          <cell r="Q130">
            <v>24.862079999999995</v>
          </cell>
        </row>
        <row r="131">
          <cell r="O131" t="str">
            <v>Lithuania</v>
          </cell>
          <cell r="P131">
            <v>3323.611</v>
          </cell>
          <cell r="Q131">
            <v>2295.757</v>
          </cell>
        </row>
        <row r="132">
          <cell r="O132" t="str">
            <v>Luxembourg</v>
          </cell>
          <cell r="P132">
            <v>507.448</v>
          </cell>
          <cell r="Q132">
            <v>347.168</v>
          </cell>
        </row>
        <row r="133">
          <cell r="O133" t="str">
            <v>Macedonia (TFYR)</v>
          </cell>
          <cell r="P133">
            <v>2060.563</v>
          </cell>
          <cell r="Q133">
            <v>1454.076</v>
          </cell>
        </row>
        <row r="134">
          <cell r="O134" t="str">
            <v>Madagascar</v>
          </cell>
          <cell r="P134">
            <v>20713.819</v>
          </cell>
          <cell r="Q134">
            <v>11135.972</v>
          </cell>
        </row>
        <row r="135">
          <cell r="O135" t="str">
            <v>Malawi</v>
          </cell>
          <cell r="P135">
            <v>14900.841</v>
          </cell>
          <cell r="Q135">
            <v>7612.707</v>
          </cell>
        </row>
        <row r="136">
          <cell r="O136" t="str">
            <v>Malaysia</v>
          </cell>
          <cell r="P136">
            <v>28401.017</v>
          </cell>
          <cell r="Q136">
            <v>18430.511</v>
          </cell>
        </row>
        <row r="137">
          <cell r="O137" t="str">
            <v>Maldives</v>
          </cell>
          <cell r="P137">
            <v>315.885</v>
          </cell>
          <cell r="Q137">
            <v>215.327</v>
          </cell>
        </row>
        <row r="138">
          <cell r="O138" t="str">
            <v>Mali</v>
          </cell>
          <cell r="P138">
            <v>15369.809</v>
          </cell>
          <cell r="Q138">
            <v>7783.828</v>
          </cell>
        </row>
        <row r="139">
          <cell r="O139" t="str">
            <v>Malta</v>
          </cell>
          <cell r="P139">
            <v>416.515</v>
          </cell>
          <cell r="Q139">
            <v>295.559</v>
          </cell>
        </row>
        <row r="140">
          <cell r="O140" t="str">
            <v>Marshall Islands</v>
          </cell>
          <cell r="P140">
            <v>54.038</v>
          </cell>
          <cell r="Q140">
            <v>31.774343999999996</v>
          </cell>
        </row>
        <row r="141">
          <cell r="O141" t="str">
            <v>Martinique</v>
          </cell>
          <cell r="P141">
            <v>405.814</v>
          </cell>
          <cell r="Q141">
            <v>267.731</v>
          </cell>
        </row>
        <row r="142">
          <cell r="O142" t="str">
            <v>Mauritania</v>
          </cell>
          <cell r="P142">
            <v>3459.773</v>
          </cell>
          <cell r="Q142">
            <v>1986.67</v>
          </cell>
        </row>
        <row r="143">
          <cell r="O143" t="str">
            <v>Mauritius</v>
          </cell>
          <cell r="P143">
            <v>1299.172</v>
          </cell>
          <cell r="Q143">
            <v>925.211</v>
          </cell>
        </row>
        <row r="144">
          <cell r="O144" t="str">
            <v>Mexico</v>
          </cell>
          <cell r="P144">
            <v>113423.047</v>
          </cell>
          <cell r="Q144">
            <v>73214.865</v>
          </cell>
        </row>
        <row r="145">
          <cell r="O145" t="str">
            <v>Micronesia (Federated States of)</v>
          </cell>
          <cell r="P145">
            <v>536.188</v>
          </cell>
          <cell r="Q145">
            <v>345.49</v>
          </cell>
        </row>
        <row r="146">
          <cell r="O146" t="str">
            <v>Moldova (Republic of)</v>
          </cell>
          <cell r="P146">
            <v>3572.885</v>
          </cell>
          <cell r="Q146">
            <v>2578.756</v>
          </cell>
        </row>
        <row r="147">
          <cell r="O147" t="str">
            <v>Monaco</v>
          </cell>
          <cell r="P147">
            <v>35.407</v>
          </cell>
          <cell r="Q147">
            <v>21.527455999999997</v>
          </cell>
        </row>
        <row r="148">
          <cell r="O148" t="str">
            <v>Mongolia</v>
          </cell>
          <cell r="P148">
            <v>2756.001</v>
          </cell>
          <cell r="Q148">
            <v>1882.827</v>
          </cell>
        </row>
        <row r="149">
          <cell r="O149" t="str">
            <v>Montenegro</v>
          </cell>
          <cell r="P149">
            <v>631.49</v>
          </cell>
          <cell r="Q149">
            <v>431.444</v>
          </cell>
        </row>
        <row r="150">
          <cell r="O150" t="str">
            <v>Montserrat</v>
          </cell>
          <cell r="P150">
            <v>5.934</v>
          </cell>
          <cell r="Q150">
            <v>3.9520439999999994</v>
          </cell>
        </row>
        <row r="151">
          <cell r="O151" t="str">
            <v>Morocco</v>
          </cell>
          <cell r="P151">
            <v>31951.412</v>
          </cell>
          <cell r="Q151">
            <v>21247.364</v>
          </cell>
        </row>
        <row r="152">
          <cell r="O152" t="str">
            <v>Mozambique</v>
          </cell>
          <cell r="P152">
            <v>23390.765</v>
          </cell>
          <cell r="Q152">
            <v>12305.134</v>
          </cell>
        </row>
        <row r="153">
          <cell r="O153" t="str">
            <v>Myanmar</v>
          </cell>
          <cell r="P153">
            <v>47963.012</v>
          </cell>
          <cell r="Q153">
            <v>33206.32</v>
          </cell>
        </row>
        <row r="154">
          <cell r="O154" t="str">
            <v>Namibia</v>
          </cell>
          <cell r="P154">
            <v>2283.289</v>
          </cell>
          <cell r="Q154">
            <v>1367.806</v>
          </cell>
        </row>
        <row r="155">
          <cell r="O155" t="str">
            <v>Nauru</v>
          </cell>
          <cell r="P155">
            <v>10.255</v>
          </cell>
          <cell r="Q155">
            <v>6.696515000000001</v>
          </cell>
        </row>
        <row r="156">
          <cell r="O156" t="str">
            <v>Nepal</v>
          </cell>
          <cell r="P156">
            <v>29959.364</v>
          </cell>
          <cell r="Q156">
            <v>17867.729</v>
          </cell>
        </row>
        <row r="157">
          <cell r="O157" t="str">
            <v>Netherlands</v>
          </cell>
          <cell r="P157">
            <v>16612.988</v>
          </cell>
          <cell r="Q157">
            <v>11129.239</v>
          </cell>
        </row>
        <row r="158">
          <cell r="O158" t="str">
            <v>Netherlands Antilles</v>
          </cell>
          <cell r="P158">
            <v>200.689</v>
          </cell>
          <cell r="Q158">
            <v>138.077</v>
          </cell>
        </row>
        <row r="159">
          <cell r="O159" t="str">
            <v>New Caledonia</v>
          </cell>
          <cell r="P159">
            <v>250.87</v>
          </cell>
          <cell r="Q159">
            <v>167.473</v>
          </cell>
        </row>
        <row r="160">
          <cell r="O160" t="str">
            <v>New Zealand</v>
          </cell>
          <cell r="P160">
            <v>4368.136</v>
          </cell>
          <cell r="Q160">
            <v>2905.029</v>
          </cell>
        </row>
        <row r="161">
          <cell r="O161" t="str">
            <v>Nicaragua</v>
          </cell>
          <cell r="P161">
            <v>5788.163</v>
          </cell>
          <cell r="Q161">
            <v>3526.336</v>
          </cell>
        </row>
        <row r="162">
          <cell r="O162" t="str">
            <v>Niger</v>
          </cell>
          <cell r="P162">
            <v>15511.953</v>
          </cell>
          <cell r="Q162">
            <v>7575.562</v>
          </cell>
        </row>
        <row r="163">
          <cell r="O163" t="str">
            <v>Nigeria</v>
          </cell>
          <cell r="P163">
            <v>158423.182</v>
          </cell>
          <cell r="Q163">
            <v>85213.028</v>
          </cell>
        </row>
        <row r="164">
          <cell r="O164" t="str">
            <v>Niue</v>
          </cell>
          <cell r="P164">
            <v>1.468</v>
          </cell>
          <cell r="Q164">
            <v>0.936584</v>
          </cell>
        </row>
        <row r="165">
          <cell r="O165" t="str">
            <v>Norfolk Island</v>
          </cell>
          <cell r="P165">
            <v>2.169</v>
          </cell>
          <cell r="Q165">
            <v>1.385991</v>
          </cell>
        </row>
        <row r="166">
          <cell r="O166" t="str">
            <v>North America</v>
          </cell>
          <cell r="P166">
            <v>344528.824</v>
          </cell>
          <cell r="Q166">
            <v>231252.509</v>
          </cell>
        </row>
        <row r="167">
          <cell r="O167" t="str">
            <v>Northern Mariana Islands</v>
          </cell>
          <cell r="P167">
            <v>60.917</v>
          </cell>
          <cell r="Q167">
            <v>42.885568000000006</v>
          </cell>
        </row>
        <row r="168">
          <cell r="O168" t="str">
            <v>Norway</v>
          </cell>
          <cell r="P168">
            <v>4883.111</v>
          </cell>
          <cell r="Q168">
            <v>3251.853</v>
          </cell>
        </row>
        <row r="169">
          <cell r="O169" t="str">
            <v>Occupied Palestinian Territory</v>
          </cell>
          <cell r="P169">
            <v>4039.192</v>
          </cell>
          <cell r="Q169">
            <v>2211.763</v>
          </cell>
        </row>
        <row r="170">
          <cell r="O170" t="str">
            <v>Oman</v>
          </cell>
          <cell r="P170">
            <v>2782.435</v>
          </cell>
          <cell r="Q170">
            <v>1955.987</v>
          </cell>
        </row>
        <row r="171">
          <cell r="O171" t="str">
            <v>Pakistan</v>
          </cell>
          <cell r="P171">
            <v>173593.383</v>
          </cell>
          <cell r="Q171">
            <v>104724.468</v>
          </cell>
        </row>
        <row r="172">
          <cell r="O172" t="str">
            <v>Palau</v>
          </cell>
          <cell r="P172">
            <v>20.472</v>
          </cell>
          <cell r="Q172">
            <v>14.739840000000001</v>
          </cell>
        </row>
        <row r="173">
          <cell r="O173" t="str">
            <v>Panama</v>
          </cell>
          <cell r="P173">
            <v>3516.82</v>
          </cell>
          <cell r="Q173">
            <v>2266.764</v>
          </cell>
        </row>
        <row r="174">
          <cell r="O174" t="str">
            <v>Papua New Guinea</v>
          </cell>
          <cell r="P174">
            <v>6858.266</v>
          </cell>
          <cell r="Q174">
            <v>3989.101</v>
          </cell>
        </row>
        <row r="175">
          <cell r="O175" t="str">
            <v>Paraguay</v>
          </cell>
          <cell r="P175">
            <v>6454.548</v>
          </cell>
          <cell r="Q175">
            <v>3960.545</v>
          </cell>
        </row>
        <row r="176">
          <cell r="O176" t="str">
            <v>Peru</v>
          </cell>
          <cell r="P176">
            <v>29076.512</v>
          </cell>
          <cell r="Q176">
            <v>18593.525</v>
          </cell>
        </row>
        <row r="177">
          <cell r="O177" t="str">
            <v>Philippines</v>
          </cell>
          <cell r="P177">
            <v>93260.798</v>
          </cell>
          <cell r="Q177">
            <v>56816.459</v>
          </cell>
        </row>
        <row r="178">
          <cell r="O178" t="str">
            <v>Pitcairn</v>
          </cell>
          <cell r="P178">
            <v>0</v>
          </cell>
          <cell r="Q178">
            <v>0</v>
          </cell>
        </row>
        <row r="179">
          <cell r="O179" t="str">
            <v>Poland</v>
          </cell>
          <cell r="P179">
            <v>38276.66</v>
          </cell>
          <cell r="Q179">
            <v>27405.711</v>
          </cell>
        </row>
        <row r="180">
          <cell r="O180" t="str">
            <v>Portugal</v>
          </cell>
          <cell r="P180">
            <v>10675.572</v>
          </cell>
          <cell r="Q180">
            <v>7146.601</v>
          </cell>
        </row>
        <row r="181">
          <cell r="O181" t="str">
            <v>Puerto Rico</v>
          </cell>
          <cell r="P181">
            <v>3749.009</v>
          </cell>
          <cell r="Q181">
            <v>2479.743</v>
          </cell>
        </row>
        <row r="182">
          <cell r="O182" t="str">
            <v>Qatar</v>
          </cell>
          <cell r="P182">
            <v>1758.793</v>
          </cell>
          <cell r="Q182">
            <v>1503.394</v>
          </cell>
        </row>
        <row r="183">
          <cell r="O183" t="str">
            <v>Réunion</v>
          </cell>
          <cell r="P183">
            <v>846.068</v>
          </cell>
          <cell r="Q183">
            <v>559.1</v>
          </cell>
        </row>
        <row r="184">
          <cell r="O184" t="str">
            <v>Romania</v>
          </cell>
          <cell r="P184">
            <v>21486.371</v>
          </cell>
          <cell r="Q184">
            <v>15017.361</v>
          </cell>
        </row>
        <row r="185">
          <cell r="O185" t="str">
            <v>Russian Federation</v>
          </cell>
          <cell r="P185">
            <v>142958.164</v>
          </cell>
          <cell r="Q185">
            <v>103161.056</v>
          </cell>
        </row>
        <row r="186">
          <cell r="O186" t="str">
            <v>Rwanda</v>
          </cell>
          <cell r="P186">
            <v>10624.005</v>
          </cell>
          <cell r="Q186">
            <v>5811.288</v>
          </cell>
        </row>
        <row r="187">
          <cell r="O187" t="str">
            <v>Saint Helena</v>
          </cell>
          <cell r="P187">
            <v>4.118</v>
          </cell>
          <cell r="Q187">
            <v>2.8826</v>
          </cell>
        </row>
        <row r="188">
          <cell r="O188" t="str">
            <v>Saint Kitts and Nevis</v>
          </cell>
          <cell r="P188">
            <v>52.402</v>
          </cell>
          <cell r="Q188">
            <v>36.471792</v>
          </cell>
        </row>
        <row r="189">
          <cell r="O189" t="str">
            <v>Saint Lucia</v>
          </cell>
          <cell r="P189">
            <v>174.267</v>
          </cell>
          <cell r="Q189">
            <v>117.446</v>
          </cell>
        </row>
        <row r="190">
          <cell r="O190" t="str">
            <v>Saint Pierre and Miquelon</v>
          </cell>
          <cell r="P190">
            <v>6.046</v>
          </cell>
          <cell r="Q190">
            <v>4.056865999999999</v>
          </cell>
        </row>
        <row r="191">
          <cell r="O191" t="str">
            <v>Saint Vincent and the Grenadines</v>
          </cell>
          <cell r="P191">
            <v>109.333</v>
          </cell>
          <cell r="Q191">
            <v>72.958</v>
          </cell>
        </row>
        <row r="192">
          <cell r="O192" t="str">
            <v>Samoa</v>
          </cell>
          <cell r="P192">
            <v>183.081</v>
          </cell>
          <cell r="Q192">
            <v>104.617</v>
          </cell>
        </row>
        <row r="193">
          <cell r="O193" t="str">
            <v>San Marino</v>
          </cell>
          <cell r="P193">
            <v>31.534</v>
          </cell>
          <cell r="Q193">
            <v>20.623236</v>
          </cell>
        </row>
        <row r="194">
          <cell r="O194" t="str">
            <v>Sao Tome and Principe</v>
          </cell>
          <cell r="P194">
            <v>165.397</v>
          </cell>
          <cell r="Q194">
            <v>92.308</v>
          </cell>
        </row>
        <row r="195">
          <cell r="O195" t="str">
            <v>Saudi Arabia</v>
          </cell>
          <cell r="P195">
            <v>27448.086</v>
          </cell>
          <cell r="Q195">
            <v>18305.537</v>
          </cell>
        </row>
        <row r="196">
          <cell r="O196" t="str">
            <v>Senegal</v>
          </cell>
          <cell r="P196">
            <v>12433.728</v>
          </cell>
          <cell r="Q196">
            <v>6702.623</v>
          </cell>
        </row>
        <row r="197">
          <cell r="O197" t="str">
            <v>Serbia</v>
          </cell>
          <cell r="P197">
            <v>9856.222</v>
          </cell>
          <cell r="Q197">
            <v>6707.219</v>
          </cell>
        </row>
        <row r="198">
          <cell r="O198" t="str">
            <v>Seychelles</v>
          </cell>
          <cell r="P198">
            <v>86.518</v>
          </cell>
          <cell r="Q198">
            <v>61.42778</v>
          </cell>
        </row>
        <row r="199">
          <cell r="O199" t="str">
            <v>Sierra Leone</v>
          </cell>
          <cell r="P199">
            <v>5867.536</v>
          </cell>
          <cell r="Q199">
            <v>3233.799</v>
          </cell>
        </row>
        <row r="200">
          <cell r="O200" t="str">
            <v>Singapore</v>
          </cell>
          <cell r="P200">
            <v>5086.418</v>
          </cell>
          <cell r="Q200">
            <v>3743.091</v>
          </cell>
        </row>
        <row r="201">
          <cell r="O201" t="str">
            <v>Slovakia</v>
          </cell>
          <cell r="P201">
            <v>5462.119</v>
          </cell>
          <cell r="Q201">
            <v>3976.038</v>
          </cell>
        </row>
        <row r="202">
          <cell r="O202" t="str">
            <v>Slovenia</v>
          </cell>
          <cell r="P202">
            <v>2029.68</v>
          </cell>
          <cell r="Q202">
            <v>1413.205</v>
          </cell>
        </row>
        <row r="203">
          <cell r="O203" t="str">
            <v>Solomon Islands</v>
          </cell>
          <cell r="P203">
            <v>538.148</v>
          </cell>
          <cell r="Q203">
            <v>307.281</v>
          </cell>
        </row>
        <row r="204">
          <cell r="O204" t="str">
            <v>Somalia</v>
          </cell>
          <cell r="P204">
            <v>9330.872</v>
          </cell>
          <cell r="Q204">
            <v>4884.572</v>
          </cell>
        </row>
        <row r="205">
          <cell r="O205" t="str">
            <v>South Africa</v>
          </cell>
          <cell r="P205">
            <v>50132.817</v>
          </cell>
          <cell r="Q205">
            <v>32703.852</v>
          </cell>
        </row>
        <row r="206">
          <cell r="O206" t="str">
            <v>South America</v>
          </cell>
          <cell r="P206">
            <v>392554.963</v>
          </cell>
          <cell r="Q206">
            <v>259431.57</v>
          </cell>
        </row>
        <row r="207">
          <cell r="O207" t="str">
            <v>South East Asia</v>
          </cell>
          <cell r="P207">
            <v>593415.285</v>
          </cell>
          <cell r="Q207">
            <v>398285.71</v>
          </cell>
        </row>
        <row r="208">
          <cell r="O208" t="str">
            <v>Southern Africa</v>
          </cell>
          <cell r="P208">
            <v>57780.425</v>
          </cell>
          <cell r="Q208">
            <v>37302.046</v>
          </cell>
        </row>
        <row r="209">
          <cell r="O209" t="str">
            <v>Spain</v>
          </cell>
          <cell r="P209">
            <v>46076.989</v>
          </cell>
          <cell r="Q209">
            <v>31363.576</v>
          </cell>
        </row>
        <row r="210">
          <cell r="O210" t="str">
            <v>Sri Lanka</v>
          </cell>
          <cell r="P210">
            <v>20859.949</v>
          </cell>
          <cell r="Q210">
            <v>13967.79</v>
          </cell>
        </row>
        <row r="211">
          <cell r="O211" t="str">
            <v>Sub-Saharan Africa</v>
          </cell>
          <cell r="P211">
            <v>856327.157</v>
          </cell>
          <cell r="Q211">
            <v>465774.229</v>
          </cell>
        </row>
        <row r="212">
          <cell r="O212" t="str">
            <v>Sudan</v>
          </cell>
          <cell r="P212">
            <v>43551.941</v>
          </cell>
          <cell r="Q212">
            <v>24539.987</v>
          </cell>
        </row>
        <row r="213">
          <cell r="O213" t="str">
            <v>Suriname</v>
          </cell>
          <cell r="P213">
            <v>524.636</v>
          </cell>
          <cell r="Q213">
            <v>340.934</v>
          </cell>
        </row>
        <row r="214">
          <cell r="O214" t="str">
            <v>Swaziland</v>
          </cell>
          <cell r="P214">
            <v>1186.056</v>
          </cell>
          <cell r="Q214">
            <v>690.72</v>
          </cell>
        </row>
        <row r="215">
          <cell r="O215" t="str">
            <v>Sweden</v>
          </cell>
          <cell r="P215">
            <v>9379.687</v>
          </cell>
          <cell r="Q215">
            <v>6118.233</v>
          </cell>
        </row>
        <row r="216">
          <cell r="O216" t="str">
            <v>Switzerland</v>
          </cell>
          <cell r="P216">
            <v>7664.318</v>
          </cell>
          <cell r="Q216">
            <v>5216.47</v>
          </cell>
        </row>
        <row r="217">
          <cell r="O217" t="str">
            <v>Syrian Arab Republic</v>
          </cell>
          <cell r="P217">
            <v>20410.606</v>
          </cell>
          <cell r="Q217">
            <v>12073.444</v>
          </cell>
        </row>
        <row r="218">
          <cell r="O218" t="str">
            <v>Taiwan, Province of China</v>
          </cell>
          <cell r="P218">
            <v>23025</v>
          </cell>
          <cell r="Q218">
            <v>16716.15</v>
          </cell>
        </row>
        <row r="219">
          <cell r="O219" t="str">
            <v>Tajikistan</v>
          </cell>
          <cell r="P219">
            <v>6878.637</v>
          </cell>
          <cell r="Q219">
            <v>4094.729</v>
          </cell>
        </row>
        <row r="220">
          <cell r="O220" t="str">
            <v>Tanzania (United Republic of)</v>
          </cell>
          <cell r="P220">
            <v>44841.226</v>
          </cell>
          <cell r="Q220">
            <v>23384.018</v>
          </cell>
        </row>
        <row r="221">
          <cell r="O221" t="str">
            <v>Thailand</v>
          </cell>
          <cell r="P221">
            <v>69122.234</v>
          </cell>
          <cell r="Q221">
            <v>48784.969</v>
          </cell>
        </row>
        <row r="222">
          <cell r="O222" t="str">
            <v>Timor-Leste</v>
          </cell>
          <cell r="P222">
            <v>1124.355</v>
          </cell>
          <cell r="Q222">
            <v>571.803</v>
          </cell>
        </row>
        <row r="223">
          <cell r="O223" t="str">
            <v>Togo</v>
          </cell>
          <cell r="P223">
            <v>6027.798</v>
          </cell>
          <cell r="Q223">
            <v>3432.677</v>
          </cell>
        </row>
        <row r="224">
          <cell r="O224" t="str">
            <v>Tonga</v>
          </cell>
          <cell r="P224">
            <v>104.058</v>
          </cell>
          <cell r="Q224">
            <v>58.957</v>
          </cell>
        </row>
        <row r="225">
          <cell r="O225" t="str">
            <v>Trinidad and Tobago</v>
          </cell>
          <cell r="P225">
            <v>1341.465</v>
          </cell>
          <cell r="Q225">
            <v>971.818</v>
          </cell>
        </row>
        <row r="226">
          <cell r="O226" t="str">
            <v>Tunisia</v>
          </cell>
          <cell r="P226">
            <v>10480.934</v>
          </cell>
          <cell r="Q226">
            <v>7293.724</v>
          </cell>
        </row>
        <row r="227">
          <cell r="O227" t="str">
            <v>Turkey</v>
          </cell>
          <cell r="P227">
            <v>72752.325</v>
          </cell>
          <cell r="Q227">
            <v>49223.676</v>
          </cell>
        </row>
        <row r="228">
          <cell r="O228" t="str">
            <v>Turkmenistan</v>
          </cell>
          <cell r="P228">
            <v>5041.995</v>
          </cell>
          <cell r="Q228">
            <v>3360.373</v>
          </cell>
        </row>
        <row r="229">
          <cell r="O229" t="str">
            <v>Turks and Caicos Islands</v>
          </cell>
          <cell r="P229">
            <v>38.354</v>
          </cell>
          <cell r="Q229">
            <v>28.075128</v>
          </cell>
        </row>
        <row r="230">
          <cell r="O230" t="str">
            <v>Tuvalu</v>
          </cell>
          <cell r="P230">
            <v>9.827</v>
          </cell>
          <cell r="Q230">
            <v>6.28928</v>
          </cell>
        </row>
        <row r="231">
          <cell r="O231" t="str">
            <v>Uganda</v>
          </cell>
          <cell r="P231">
            <v>33424.683</v>
          </cell>
          <cell r="Q231">
            <v>16397.829</v>
          </cell>
        </row>
        <row r="232">
          <cell r="O232" t="str">
            <v>Ukraine</v>
          </cell>
          <cell r="P232">
            <v>45448.329</v>
          </cell>
          <cell r="Q232">
            <v>31971.793</v>
          </cell>
        </row>
        <row r="233">
          <cell r="O233" t="str">
            <v>United Arab Emirates</v>
          </cell>
          <cell r="P233">
            <v>7511.69</v>
          </cell>
          <cell r="Q233">
            <v>6200.306</v>
          </cell>
        </row>
        <row r="234">
          <cell r="O234" t="str">
            <v>United Kingdom</v>
          </cell>
          <cell r="P234">
            <v>62035.57</v>
          </cell>
          <cell r="Q234">
            <v>40972.518</v>
          </cell>
        </row>
        <row r="235">
          <cell r="O235" t="str">
            <v>United Kingdom (England and Wales)</v>
          </cell>
          <cell r="P235">
            <v>55240.5</v>
          </cell>
          <cell r="Q235">
            <v>36413.6</v>
          </cell>
        </row>
        <row r="236">
          <cell r="O236" t="str">
            <v>United Kingdom (Northern Ireland)</v>
          </cell>
          <cell r="P236">
            <v>1799.4</v>
          </cell>
          <cell r="Q236">
            <v>1181.2</v>
          </cell>
        </row>
        <row r="237">
          <cell r="O237" t="str">
            <v>United Kingdom (Scotland)</v>
          </cell>
          <cell r="P237">
            <v>5222.1</v>
          </cell>
          <cell r="Q237">
            <v>3491</v>
          </cell>
        </row>
        <row r="238">
          <cell r="O238" t="str">
            <v>United States of America</v>
          </cell>
          <cell r="P238">
            <v>310383.948</v>
          </cell>
          <cell r="Q238">
            <v>207533.58</v>
          </cell>
        </row>
        <row r="239">
          <cell r="O239" t="str">
            <v>United States Virgin Islands</v>
          </cell>
          <cell r="P239">
            <v>109.056</v>
          </cell>
          <cell r="Q239">
            <v>71.321</v>
          </cell>
        </row>
        <row r="240">
          <cell r="O240" t="str">
            <v>Uruguay</v>
          </cell>
          <cell r="P240">
            <v>3368.786</v>
          </cell>
          <cell r="Q240">
            <v>2146.79</v>
          </cell>
        </row>
        <row r="241">
          <cell r="O241" t="str">
            <v>Uzbekistan</v>
          </cell>
          <cell r="P241">
            <v>27444.702</v>
          </cell>
          <cell r="Q241">
            <v>18191.577</v>
          </cell>
        </row>
        <row r="242">
          <cell r="O242" t="str">
            <v>Vanuatu</v>
          </cell>
          <cell r="P242">
            <v>239.651</v>
          </cell>
          <cell r="Q242">
            <v>139.721</v>
          </cell>
        </row>
        <row r="243">
          <cell r="O243" t="str">
            <v>Venezuela (Bolivarian Republic of)</v>
          </cell>
          <cell r="P243">
            <v>28979.857</v>
          </cell>
          <cell r="Q243">
            <v>18820.475</v>
          </cell>
        </row>
        <row r="244">
          <cell r="O244" t="str">
            <v>Viet Nam</v>
          </cell>
          <cell r="P244">
            <v>87848.445</v>
          </cell>
          <cell r="Q244">
            <v>61841.971</v>
          </cell>
        </row>
        <row r="245">
          <cell r="O245" t="str">
            <v>Wallis and Futuna Islands</v>
          </cell>
          <cell r="P245">
            <v>13.566</v>
          </cell>
          <cell r="Q245">
            <v>9.102786</v>
          </cell>
        </row>
        <row r="246">
          <cell r="O246" t="str">
            <v>Western Sahara</v>
          </cell>
          <cell r="P246">
            <v>530.5</v>
          </cell>
          <cell r="Q246">
            <v>366.613</v>
          </cell>
        </row>
        <row r="247">
          <cell r="O247" t="str">
            <v>WORLD</v>
          </cell>
          <cell r="P247">
            <v>6895889.018</v>
          </cell>
          <cell r="Q247">
            <v>4524849.849</v>
          </cell>
        </row>
        <row r="248">
          <cell r="O248" t="str">
            <v>Yemen</v>
          </cell>
          <cell r="P248">
            <v>24052.514</v>
          </cell>
          <cell r="Q248">
            <v>12799.923</v>
          </cell>
        </row>
        <row r="249">
          <cell r="O249" t="str">
            <v>Zambia</v>
          </cell>
          <cell r="P249">
            <v>13088.57</v>
          </cell>
          <cell r="Q249">
            <v>6619.632</v>
          </cell>
        </row>
        <row r="250">
          <cell r="O250" t="str">
            <v>Zimbabwe</v>
          </cell>
          <cell r="P250">
            <v>12571.454</v>
          </cell>
          <cell r="Q250">
            <v>7156.186</v>
          </cell>
        </row>
        <row r="251">
          <cell r="O251" t="str">
            <v>Faeroe Islands</v>
          </cell>
          <cell r="P251">
            <v>48.708</v>
          </cell>
          <cell r="Q251">
            <v>31.270536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pioids, Opiates"/>
      <sheetName val="Cannabis"/>
      <sheetName val="Cocaine"/>
      <sheetName val="ATS"/>
      <sheetName val="Ecstasy"/>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WDR REPORT"/>
    </sheetNames>
    <sheetDataSet>
      <sheetData sheetId="0">
        <row r="4">
          <cell r="A4" t="str">
            <v>Afghanistan</v>
          </cell>
          <cell r="B4">
            <v>2.92</v>
          </cell>
          <cell r="C4">
            <v>2.65</v>
          </cell>
          <cell r="D4">
            <v>3.2</v>
          </cell>
          <cell r="E4">
            <v>2.65</v>
          </cell>
          <cell r="F4">
            <v>2.34</v>
          </cell>
          <cell r="G4">
            <v>2.96</v>
          </cell>
          <cell r="H4">
            <v>0.5464169311376242</v>
          </cell>
          <cell r="I4">
            <v>0.4595503607550889</v>
          </cell>
          <cell r="J4">
            <v>0.6332835015201596</v>
          </cell>
          <cell r="K4">
            <v>2009</v>
          </cell>
          <cell r="L4" t="str">
            <v>15-64</v>
          </cell>
          <cell r="M4" t="str">
            <v>UNODC/ Govt. Source</v>
          </cell>
          <cell r="N4" t="str">
            <v>HHS</v>
          </cell>
          <cell r="O4" t="str">
            <v/>
          </cell>
        </row>
        <row r="5">
          <cell r="A5" t="str">
            <v>Albania</v>
          </cell>
          <cell r="B5">
            <v>0.45</v>
          </cell>
          <cell r="C5">
            <v>0.45</v>
          </cell>
          <cell r="D5">
            <v>0.45</v>
          </cell>
          <cell r="E5">
            <v>0.45</v>
          </cell>
          <cell r="F5">
            <v>0.45</v>
          </cell>
          <cell r="G5">
            <v>0.45</v>
          </cell>
          <cell r="K5">
            <v>2007</v>
          </cell>
          <cell r="L5" t="str">
            <v>15-64</v>
          </cell>
          <cell r="M5" t="str">
            <v>ARQ</v>
          </cell>
          <cell r="N5" t="str">
            <v>R</v>
          </cell>
          <cell r="O5" t="str">
            <v>h,g</v>
          </cell>
        </row>
        <row r="6">
          <cell r="A6" t="str">
            <v>Algeria</v>
          </cell>
          <cell r="B6">
            <v>0.12</v>
          </cell>
          <cell r="C6">
            <v>0.12</v>
          </cell>
          <cell r="D6">
            <v>0.12</v>
          </cell>
          <cell r="E6">
            <v>0.12</v>
          </cell>
          <cell r="F6">
            <v>0.12</v>
          </cell>
          <cell r="G6">
            <v>0.12</v>
          </cell>
          <cell r="K6">
            <v>2004</v>
          </cell>
          <cell r="L6" t="str">
            <v>15-64</v>
          </cell>
          <cell r="M6" t="str">
            <v>UNODC Estimate</v>
          </cell>
          <cell r="N6" t="str">
            <v/>
          </cell>
          <cell r="O6" t="str">
            <v/>
          </cell>
        </row>
        <row r="7">
          <cell r="A7" t="str">
            <v>American Samoa</v>
          </cell>
          <cell r="B7" t="str">
            <v/>
          </cell>
          <cell r="C7" t="str">
            <v/>
          </cell>
          <cell r="D7" t="str">
            <v/>
          </cell>
          <cell r="E7" t="str">
            <v/>
          </cell>
          <cell r="F7" t="str">
            <v/>
          </cell>
          <cell r="G7" t="str">
            <v/>
          </cell>
          <cell r="K7" t="str">
            <v/>
          </cell>
          <cell r="L7" t="str">
            <v/>
          </cell>
          <cell r="M7" t="str">
            <v/>
          </cell>
          <cell r="N7" t="str">
            <v/>
          </cell>
          <cell r="O7" t="str">
            <v/>
          </cell>
        </row>
        <row r="8">
          <cell r="A8" t="str">
            <v>Andorra</v>
          </cell>
          <cell r="B8" t="str">
            <v/>
          </cell>
          <cell r="C8" t="str">
            <v/>
          </cell>
          <cell r="D8" t="str">
            <v/>
          </cell>
          <cell r="E8" t="str">
            <v/>
          </cell>
          <cell r="F8" t="str">
            <v/>
          </cell>
          <cell r="G8" t="str">
            <v/>
          </cell>
          <cell r="K8" t="str">
            <v/>
          </cell>
          <cell r="L8" t="str">
            <v/>
          </cell>
          <cell r="M8" t="str">
            <v/>
          </cell>
          <cell r="N8" t="str">
            <v/>
          </cell>
          <cell r="O8" t="str">
            <v/>
          </cell>
        </row>
        <row r="9">
          <cell r="A9" t="str">
            <v>Angola</v>
          </cell>
          <cell r="B9" t="str">
            <v/>
          </cell>
          <cell r="C9" t="str">
            <v/>
          </cell>
          <cell r="E9" t="str">
            <v/>
          </cell>
          <cell r="F9" t="str">
            <v/>
          </cell>
          <cell r="G9" t="str">
            <v/>
          </cell>
          <cell r="K9" t="str">
            <v/>
          </cell>
          <cell r="L9" t="str">
            <v/>
          </cell>
          <cell r="M9" t="str">
            <v/>
          </cell>
          <cell r="N9" t="str">
            <v/>
          </cell>
          <cell r="O9" t="str">
            <v/>
          </cell>
        </row>
        <row r="10">
          <cell r="A10" t="str">
            <v>Anguilla</v>
          </cell>
          <cell r="B10" t="str">
            <v/>
          </cell>
          <cell r="C10" t="str">
            <v/>
          </cell>
          <cell r="D10" t="str">
            <v/>
          </cell>
          <cell r="E10" t="str">
            <v/>
          </cell>
          <cell r="F10" t="str">
            <v/>
          </cell>
          <cell r="G10" t="str">
            <v/>
          </cell>
          <cell r="K10" t="str">
            <v/>
          </cell>
          <cell r="L10" t="str">
            <v/>
          </cell>
          <cell r="M10" t="str">
            <v/>
          </cell>
          <cell r="N10" t="str">
            <v/>
          </cell>
          <cell r="O10" t="str">
            <v/>
          </cell>
        </row>
        <row r="11">
          <cell r="A11" t="str">
            <v>Antigua and Barbuda</v>
          </cell>
          <cell r="B11" t="str">
            <v/>
          </cell>
          <cell r="C11" t="str">
            <v/>
          </cell>
          <cell r="D11" t="str">
            <v/>
          </cell>
          <cell r="E11" t="str">
            <v/>
          </cell>
          <cell r="F11" t="str">
            <v/>
          </cell>
          <cell r="G11" t="str">
            <v/>
          </cell>
          <cell r="K11" t="str">
            <v/>
          </cell>
          <cell r="L11" t="str">
            <v/>
          </cell>
          <cell r="M11" t="str">
            <v/>
          </cell>
          <cell r="N11" t="str">
            <v/>
          </cell>
          <cell r="O11" t="str">
            <v/>
          </cell>
        </row>
        <row r="12">
          <cell r="A12" t="str">
            <v>Argentina</v>
          </cell>
          <cell r="B12">
            <v>0.2</v>
          </cell>
          <cell r="C12">
            <v>0.1</v>
          </cell>
          <cell r="D12">
            <v>0.3</v>
          </cell>
          <cell r="E12">
            <v>0.1</v>
          </cell>
          <cell r="F12">
            <v>0.1</v>
          </cell>
          <cell r="G12">
            <v>0.1</v>
          </cell>
          <cell r="H12">
            <v>0.11366335418966997</v>
          </cell>
          <cell r="I12">
            <v>0.09742573216257426</v>
          </cell>
          <cell r="J12">
            <v>0.1299009762167657</v>
          </cell>
          <cell r="K12">
            <v>2010</v>
          </cell>
          <cell r="L12" t="str">
            <v>16-65</v>
          </cell>
          <cell r="M12" t="str">
            <v>ARQ</v>
          </cell>
          <cell r="N12" t="str">
            <v>HHS</v>
          </cell>
          <cell r="O12" t="str">
            <v/>
          </cell>
        </row>
        <row r="13">
          <cell r="A13" t="str">
            <v>Armenia</v>
          </cell>
          <cell r="B13">
            <v>0.284461706002189</v>
          </cell>
          <cell r="C13">
            <v>0.23705142166849116</v>
          </cell>
          <cell r="D13">
            <v>0.33187199033588766</v>
          </cell>
          <cell r="E13">
            <v>0.2</v>
          </cell>
          <cell r="F13">
            <v>0.17120380453835474</v>
          </cell>
          <cell r="G13">
            <v>0.23968532635369663</v>
          </cell>
          <cell r="H13">
            <v>0.08</v>
          </cell>
          <cell r="I13">
            <v>0.08</v>
          </cell>
          <cell r="J13">
            <v>0.08</v>
          </cell>
          <cell r="K13">
            <v>2007</v>
          </cell>
          <cell r="L13" t="str">
            <v>15-64</v>
          </cell>
          <cell r="M13" t="str">
            <v>Government Source</v>
          </cell>
          <cell r="N13" t="str">
            <v/>
          </cell>
          <cell r="O13" t="str">
            <v/>
          </cell>
        </row>
        <row r="14">
          <cell r="A14" t="str">
            <v>Aruba</v>
          </cell>
          <cell r="B14" t="str">
            <v/>
          </cell>
          <cell r="C14" t="str">
            <v/>
          </cell>
          <cell r="D14" t="str">
            <v/>
          </cell>
          <cell r="E14" t="str">
            <v/>
          </cell>
          <cell r="F14" t="str">
            <v/>
          </cell>
          <cell r="G14" t="str">
            <v/>
          </cell>
          <cell r="K14" t="str">
            <v/>
          </cell>
          <cell r="L14" t="str">
            <v/>
          </cell>
          <cell r="M14" t="str">
            <v/>
          </cell>
          <cell r="N14" t="str">
            <v/>
          </cell>
          <cell r="O14" t="str">
            <v/>
          </cell>
        </row>
        <row r="15">
          <cell r="A15" t="str">
            <v>Australia</v>
          </cell>
          <cell r="B15">
            <v>3.4</v>
          </cell>
          <cell r="C15">
            <v>3.1</v>
          </cell>
          <cell r="D15">
            <v>3.7</v>
          </cell>
          <cell r="E15">
            <v>0.2</v>
          </cell>
          <cell r="F15">
            <v>0.2</v>
          </cell>
          <cell r="G15">
            <v>0.2</v>
          </cell>
          <cell r="H15">
            <v>3.1</v>
          </cell>
          <cell r="I15">
            <v>3.1</v>
          </cell>
          <cell r="J15">
            <v>3.1</v>
          </cell>
          <cell r="K15">
            <v>2010</v>
          </cell>
          <cell r="L15" t="str">
            <v>15-64</v>
          </cell>
          <cell r="M15" t="str">
            <v>Government source</v>
          </cell>
          <cell r="N15" t="str">
            <v>HHS</v>
          </cell>
          <cell r="O15" t="str">
            <v>a</v>
          </cell>
        </row>
        <row r="16">
          <cell r="A16" t="str">
            <v>Austria</v>
          </cell>
          <cell r="B16">
            <v>0.46</v>
          </cell>
          <cell r="C16">
            <v>0.44</v>
          </cell>
          <cell r="D16">
            <v>0.47</v>
          </cell>
          <cell r="E16" t="str">
            <v/>
          </cell>
          <cell r="F16" t="str">
            <v/>
          </cell>
          <cell r="G16" t="str">
            <v/>
          </cell>
          <cell r="K16">
            <v>2009</v>
          </cell>
          <cell r="L16" t="str">
            <v>15-64</v>
          </cell>
          <cell r="M16" t="str">
            <v>EMCDDA</v>
          </cell>
          <cell r="N16" t="str">
            <v>I</v>
          </cell>
          <cell r="O16" t="str">
            <v/>
          </cell>
        </row>
        <row r="17">
          <cell r="A17" t="str">
            <v>Azerbaijan</v>
          </cell>
          <cell r="B17">
            <v>1.500542093766521</v>
          </cell>
          <cell r="C17">
            <v>1.2819361341432773</v>
          </cell>
          <cell r="D17">
            <v>1.7191480533897647</v>
          </cell>
          <cell r="E17">
            <v>1.500542093766521</v>
          </cell>
          <cell r="F17">
            <v>1.2819361341432773</v>
          </cell>
          <cell r="G17">
            <v>1.7191480533897647</v>
          </cell>
          <cell r="K17">
            <v>2010</v>
          </cell>
          <cell r="L17" t="str">
            <v>15-64</v>
          </cell>
          <cell r="M17" t="str">
            <v>Government report</v>
          </cell>
          <cell r="N17" t="str">
            <v/>
          </cell>
          <cell r="O17" t="str">
            <v>i</v>
          </cell>
        </row>
        <row r="18">
          <cell r="A18" t="str">
            <v>Bahamas</v>
          </cell>
          <cell r="B18">
            <v>0.22</v>
          </cell>
          <cell r="C18">
            <v>0.22</v>
          </cell>
          <cell r="D18">
            <v>0.22</v>
          </cell>
          <cell r="E18">
            <v>0.22</v>
          </cell>
          <cell r="F18">
            <v>0.22</v>
          </cell>
          <cell r="G18">
            <v>0.22</v>
          </cell>
          <cell r="K18">
            <v>2003</v>
          </cell>
          <cell r="L18" t="str">
            <v>15-64</v>
          </cell>
          <cell r="M18" t="str">
            <v>UNODC Estimate</v>
          </cell>
          <cell r="N18" t="str">
            <v/>
          </cell>
          <cell r="O18" t="str">
            <v/>
          </cell>
        </row>
        <row r="19">
          <cell r="A19" t="str">
            <v>Bahrain</v>
          </cell>
          <cell r="B19" t="str">
            <v/>
          </cell>
          <cell r="C19" t="str">
            <v/>
          </cell>
          <cell r="D19" t="str">
            <v/>
          </cell>
          <cell r="E19" t="str">
            <v/>
          </cell>
          <cell r="F19" t="str">
            <v/>
          </cell>
          <cell r="G19" t="str">
            <v/>
          </cell>
          <cell r="K19" t="str">
            <v/>
          </cell>
          <cell r="L19" t="str">
            <v/>
          </cell>
          <cell r="M19" t="str">
            <v/>
          </cell>
          <cell r="N19" t="str">
            <v/>
          </cell>
          <cell r="O19" t="str">
            <v/>
          </cell>
        </row>
        <row r="20">
          <cell r="A20" t="str">
            <v>Bangladesh</v>
          </cell>
          <cell r="B20">
            <v>0.4</v>
          </cell>
          <cell r="C20">
            <v>0.4</v>
          </cell>
          <cell r="D20">
            <v>0.4</v>
          </cell>
          <cell r="E20">
            <v>0.37</v>
          </cell>
          <cell r="F20">
            <v>0.37</v>
          </cell>
          <cell r="G20">
            <v>0.37</v>
          </cell>
          <cell r="H20">
            <v>0.03</v>
          </cell>
          <cell r="I20">
            <v>0.03</v>
          </cell>
          <cell r="J20">
            <v>0.03</v>
          </cell>
          <cell r="K20">
            <v>2003</v>
          </cell>
          <cell r="L20" t="str">
            <v>15-64</v>
          </cell>
          <cell r="M20" t="str">
            <v>ARQ</v>
          </cell>
          <cell r="N20" t="str">
            <v>HHS</v>
          </cell>
          <cell r="O20" t="str">
            <v>a, e</v>
          </cell>
        </row>
        <row r="21">
          <cell r="A21" t="str">
            <v>Barbados</v>
          </cell>
          <cell r="B21">
            <v>0.23</v>
          </cell>
          <cell r="C21">
            <v>0.16</v>
          </cell>
          <cell r="D21">
            <v>0.29</v>
          </cell>
          <cell r="E21">
            <v>0.11</v>
          </cell>
          <cell r="F21">
            <v>0.1</v>
          </cell>
          <cell r="G21">
            <v>0.13</v>
          </cell>
          <cell r="H21">
            <v>0.1623762202709571</v>
          </cell>
          <cell r="I21">
            <v>0.11786167596014864</v>
          </cell>
          <cell r="J21">
            <v>0.20689076458176558</v>
          </cell>
          <cell r="K21">
            <v>2006</v>
          </cell>
          <cell r="L21" t="str">
            <v>15-64</v>
          </cell>
          <cell r="M21" t="str">
            <v>UNODC Estimate</v>
          </cell>
          <cell r="N21" t="str">
            <v/>
          </cell>
          <cell r="O21" t="str">
            <v/>
          </cell>
        </row>
        <row r="22">
          <cell r="A22" t="str">
            <v>Belarus</v>
          </cell>
          <cell r="B22">
            <v>0.43</v>
          </cell>
          <cell r="C22">
            <v>0.08</v>
          </cell>
          <cell r="D22">
            <v>0.74</v>
          </cell>
          <cell r="E22">
            <v>0.39</v>
          </cell>
          <cell r="F22">
            <v>0.07</v>
          </cell>
          <cell r="G22">
            <v>0.67</v>
          </cell>
          <cell r="H22">
            <v>0.04069708132615472</v>
          </cell>
          <cell r="I22">
            <v>0.00757155001416832</v>
          </cell>
          <cell r="J22">
            <v>0.07003683763105696</v>
          </cell>
          <cell r="K22">
            <v>2007</v>
          </cell>
          <cell r="L22" t="str">
            <v>15-64</v>
          </cell>
          <cell r="M22" t="str">
            <v>UNODC Estimate</v>
          </cell>
          <cell r="N22" t="str">
            <v>R</v>
          </cell>
          <cell r="O22" t="str">
            <v>h,g</v>
          </cell>
        </row>
        <row r="23">
          <cell r="A23" t="str">
            <v>Belgium</v>
          </cell>
          <cell r="B23">
            <v>0.2</v>
          </cell>
          <cell r="C23">
            <v>0.2</v>
          </cell>
          <cell r="D23">
            <v>0.2</v>
          </cell>
          <cell r="E23" t="str">
            <v/>
          </cell>
          <cell r="F23" t="str">
            <v/>
          </cell>
          <cell r="G23" t="str">
            <v/>
          </cell>
          <cell r="K23">
            <v>2008</v>
          </cell>
          <cell r="L23" t="str">
            <v>15-64</v>
          </cell>
          <cell r="M23" t="str">
            <v>ARQ</v>
          </cell>
          <cell r="N23" t="str">
            <v>HHS</v>
          </cell>
          <cell r="O23" t="str">
            <v/>
          </cell>
        </row>
        <row r="24">
          <cell r="A24" t="str">
            <v>Belize</v>
          </cell>
          <cell r="B24">
            <v>0.3</v>
          </cell>
          <cell r="C24">
            <v>0.3</v>
          </cell>
          <cell r="D24">
            <v>0.3</v>
          </cell>
          <cell r="E24">
            <v>0.3</v>
          </cell>
          <cell r="F24">
            <v>0.3</v>
          </cell>
          <cell r="G24">
            <v>0.3</v>
          </cell>
          <cell r="K24">
            <v>2005</v>
          </cell>
          <cell r="L24" t="str">
            <v>12-65</v>
          </cell>
          <cell r="M24" t="str">
            <v>CICAD/MEM</v>
          </cell>
          <cell r="N24" t="str">
            <v>HHS</v>
          </cell>
          <cell r="O24" t="str">
            <v/>
          </cell>
        </row>
        <row r="25">
          <cell r="A25" t="str">
            <v>Benin</v>
          </cell>
          <cell r="B25" t="str">
            <v/>
          </cell>
          <cell r="C25" t="str">
            <v/>
          </cell>
          <cell r="D25" t="str">
            <v/>
          </cell>
          <cell r="E25" t="str">
            <v/>
          </cell>
          <cell r="F25" t="str">
            <v/>
          </cell>
          <cell r="G25" t="str">
            <v/>
          </cell>
          <cell r="K25" t="str">
            <v/>
          </cell>
          <cell r="L25" t="str">
            <v/>
          </cell>
          <cell r="M25" t="str">
            <v/>
          </cell>
          <cell r="N25" t="str">
            <v/>
          </cell>
          <cell r="O25" t="str">
            <v/>
          </cell>
        </row>
        <row r="26">
          <cell r="A26" t="str">
            <v>Bermuda</v>
          </cell>
          <cell r="B26">
            <v>0.15</v>
          </cell>
          <cell r="C26">
            <v>0.1</v>
          </cell>
          <cell r="D26">
            <v>0.2</v>
          </cell>
          <cell r="E26" t="str">
            <v/>
          </cell>
          <cell r="F26" t="str">
            <v/>
          </cell>
          <cell r="G26" t="str">
            <v/>
          </cell>
          <cell r="K26">
            <v>2009</v>
          </cell>
          <cell r="L26" t="str">
            <v>16-65</v>
          </cell>
          <cell r="M26" t="str">
            <v>Government Source</v>
          </cell>
          <cell r="N26" t="str">
            <v>HHS</v>
          </cell>
          <cell r="O26" t="str">
            <v/>
          </cell>
        </row>
        <row r="27">
          <cell r="A27" t="str">
            <v>Bhutan</v>
          </cell>
          <cell r="B27" t="str">
            <v/>
          </cell>
          <cell r="C27" t="str">
            <v/>
          </cell>
          <cell r="D27" t="str">
            <v/>
          </cell>
          <cell r="E27" t="str">
            <v/>
          </cell>
          <cell r="F27" t="str">
            <v/>
          </cell>
          <cell r="G27" t="str">
            <v/>
          </cell>
          <cell r="K27" t="str">
            <v/>
          </cell>
          <cell r="L27" t="str">
            <v/>
          </cell>
          <cell r="M27" t="str">
            <v/>
          </cell>
          <cell r="N27" t="str">
            <v/>
          </cell>
          <cell r="O27" t="str">
            <v/>
          </cell>
        </row>
        <row r="28">
          <cell r="A28" t="str">
            <v>Bolivia (Plurinational State of)</v>
          </cell>
          <cell r="B28">
            <v>0.6</v>
          </cell>
          <cell r="C28">
            <v>0.3</v>
          </cell>
          <cell r="D28">
            <v>0.9</v>
          </cell>
          <cell r="E28">
            <v>0.45</v>
          </cell>
          <cell r="F28">
            <v>0.3</v>
          </cell>
          <cell r="G28">
            <v>0.6</v>
          </cell>
          <cell r="H28">
            <v>0.3</v>
          </cell>
          <cell r="I28">
            <v>0.3</v>
          </cell>
          <cell r="J28">
            <v>0.3</v>
          </cell>
          <cell r="K28">
            <v>2007</v>
          </cell>
          <cell r="L28" t="str">
            <v>12-65</v>
          </cell>
          <cell r="M28" t="str">
            <v>ARQ</v>
          </cell>
          <cell r="N28" t="str">
            <v>HHS</v>
          </cell>
          <cell r="O28" t="str">
            <v/>
          </cell>
        </row>
        <row r="29">
          <cell r="A29" t="str">
            <v>Bosnia and Herzegovina</v>
          </cell>
          <cell r="B29">
            <v>0.3</v>
          </cell>
          <cell r="C29">
            <v>0.3</v>
          </cell>
          <cell r="D29">
            <v>0.3</v>
          </cell>
          <cell r="E29">
            <v>0.3</v>
          </cell>
          <cell r="F29">
            <v>0.3</v>
          </cell>
          <cell r="G29">
            <v>0.3</v>
          </cell>
          <cell r="K29">
            <v>2009</v>
          </cell>
          <cell r="L29" t="str">
            <v>15-64</v>
          </cell>
          <cell r="M29" t="str">
            <v>ARQ</v>
          </cell>
          <cell r="N29" t="str">
            <v>I</v>
          </cell>
          <cell r="O29" t="str">
            <v/>
          </cell>
        </row>
        <row r="30">
          <cell r="A30" t="str">
            <v>Botswana</v>
          </cell>
          <cell r="B30" t="str">
            <v/>
          </cell>
          <cell r="C30" t="str">
            <v/>
          </cell>
          <cell r="D30" t="str">
            <v/>
          </cell>
          <cell r="E30" t="str">
            <v/>
          </cell>
          <cell r="F30" t="str">
            <v/>
          </cell>
          <cell r="G30" t="str">
            <v/>
          </cell>
          <cell r="K30" t="str">
            <v/>
          </cell>
          <cell r="L30" t="str">
            <v/>
          </cell>
          <cell r="M30" t="str">
            <v/>
          </cell>
          <cell r="N30" t="str">
            <v/>
          </cell>
          <cell r="O30" t="str">
            <v/>
          </cell>
        </row>
        <row r="31">
          <cell r="A31" t="str">
            <v>Brazil</v>
          </cell>
          <cell r="B31">
            <v>0.5</v>
          </cell>
          <cell r="C31">
            <v>0.5</v>
          </cell>
          <cell r="D31">
            <v>0.5</v>
          </cell>
          <cell r="E31" t="str">
            <v/>
          </cell>
          <cell r="F31" t="str">
            <v/>
          </cell>
          <cell r="G31" t="str">
            <v/>
          </cell>
          <cell r="H31">
            <v>0.5</v>
          </cell>
          <cell r="I31">
            <v>0.5</v>
          </cell>
          <cell r="J31">
            <v>0.5</v>
          </cell>
          <cell r="K31">
            <v>2005</v>
          </cell>
          <cell r="L31" t="str">
            <v>12-65</v>
          </cell>
          <cell r="M31" t="str">
            <v>ARQ</v>
          </cell>
          <cell r="N31" t="str">
            <v>HHS</v>
          </cell>
          <cell r="O31" t="str">
            <v>e</v>
          </cell>
        </row>
        <row r="32">
          <cell r="A32" t="str">
            <v>British Virgin Islands</v>
          </cell>
          <cell r="B32" t="str">
            <v/>
          </cell>
          <cell r="C32" t="str">
            <v/>
          </cell>
          <cell r="D32" t="str">
            <v/>
          </cell>
          <cell r="E32" t="str">
            <v/>
          </cell>
          <cell r="F32" t="str">
            <v/>
          </cell>
          <cell r="G32" t="str">
            <v/>
          </cell>
          <cell r="K32" t="str">
            <v/>
          </cell>
          <cell r="L32" t="str">
            <v/>
          </cell>
          <cell r="M32" t="str">
            <v/>
          </cell>
          <cell r="N32" t="str">
            <v/>
          </cell>
          <cell r="O32" t="str">
            <v/>
          </cell>
        </row>
        <row r="33">
          <cell r="A33" t="str">
            <v>Brunei Darussalam</v>
          </cell>
          <cell r="B33" t="str">
            <v/>
          </cell>
          <cell r="C33" t="str">
            <v/>
          </cell>
          <cell r="D33" t="str">
            <v/>
          </cell>
          <cell r="E33" t="str">
            <v/>
          </cell>
          <cell r="F33" t="str">
            <v/>
          </cell>
          <cell r="G33" t="str">
            <v/>
          </cell>
          <cell r="K33" t="str">
            <v/>
          </cell>
          <cell r="L33" t="str">
            <v/>
          </cell>
          <cell r="M33" t="str">
            <v/>
          </cell>
          <cell r="N33" t="str">
            <v/>
          </cell>
          <cell r="O33" t="str">
            <v/>
          </cell>
        </row>
        <row r="34">
          <cell r="A34" t="str">
            <v>Bulgaria</v>
          </cell>
          <cell r="B34">
            <v>0.43662503980564954</v>
          </cell>
          <cell r="C34">
            <v>0.43662503980564954</v>
          </cell>
          <cell r="D34">
            <v>0.43662503980564954</v>
          </cell>
          <cell r="E34">
            <v>0.2875817596380151</v>
          </cell>
          <cell r="F34">
            <v>0.2</v>
          </cell>
          <cell r="G34">
            <v>0.4</v>
          </cell>
          <cell r="K34" t="str">
            <v>2008</v>
          </cell>
          <cell r="L34" t="str">
            <v>15-64</v>
          </cell>
          <cell r="M34" t="str">
            <v>ARQ</v>
          </cell>
          <cell r="N34" t="str">
            <v>I</v>
          </cell>
          <cell r="O34" t="str">
            <v/>
          </cell>
        </row>
        <row r="35">
          <cell r="A35" t="str">
            <v>Burkina Faso</v>
          </cell>
          <cell r="B35" t="str">
            <v/>
          </cell>
          <cell r="C35" t="str">
            <v/>
          </cell>
          <cell r="D35" t="str">
            <v/>
          </cell>
          <cell r="E35" t="str">
            <v/>
          </cell>
          <cell r="F35" t="str">
            <v/>
          </cell>
          <cell r="G35" t="str">
            <v/>
          </cell>
          <cell r="K35" t="str">
            <v/>
          </cell>
          <cell r="L35" t="str">
            <v/>
          </cell>
          <cell r="M35" t="str">
            <v/>
          </cell>
          <cell r="N35" t="str">
            <v/>
          </cell>
          <cell r="O35" t="str">
            <v/>
          </cell>
        </row>
        <row r="36">
          <cell r="A36" t="str">
            <v>Burundi</v>
          </cell>
          <cell r="B36" t="str">
            <v/>
          </cell>
          <cell r="C36" t="str">
            <v/>
          </cell>
          <cell r="D36" t="str">
            <v/>
          </cell>
          <cell r="E36" t="str">
            <v/>
          </cell>
          <cell r="F36" t="str">
            <v/>
          </cell>
          <cell r="G36" t="str">
            <v/>
          </cell>
          <cell r="K36" t="str">
            <v/>
          </cell>
          <cell r="L36" t="str">
            <v/>
          </cell>
          <cell r="M36" t="str">
            <v/>
          </cell>
          <cell r="N36" t="str">
            <v/>
          </cell>
          <cell r="O36" t="str">
            <v/>
          </cell>
        </row>
        <row r="37">
          <cell r="A37" t="str">
            <v>Cambodia</v>
          </cell>
          <cell r="B37">
            <v>0.035021679564229614</v>
          </cell>
          <cell r="C37">
            <v>0.035021679564229614</v>
          </cell>
          <cell r="D37">
            <v>0.035021679564229614</v>
          </cell>
          <cell r="E37">
            <v>0.035021679564229614</v>
          </cell>
          <cell r="F37">
            <v>0.035021679564229614</v>
          </cell>
          <cell r="G37">
            <v>0.035021679564229614</v>
          </cell>
          <cell r="K37">
            <v>2007</v>
          </cell>
          <cell r="L37" t="str">
            <v>15-64</v>
          </cell>
          <cell r="M37" t="str">
            <v>Government source</v>
          </cell>
          <cell r="N37" t="str">
            <v>I</v>
          </cell>
          <cell r="O37" t="str">
            <v/>
          </cell>
        </row>
        <row r="38">
          <cell r="A38" t="str">
            <v>Cameroon</v>
          </cell>
          <cell r="B38" t="str">
            <v/>
          </cell>
          <cell r="C38" t="str">
            <v/>
          </cell>
          <cell r="D38" t="str">
            <v/>
          </cell>
          <cell r="E38" t="str">
            <v/>
          </cell>
          <cell r="F38" t="str">
            <v/>
          </cell>
          <cell r="G38" t="str">
            <v/>
          </cell>
          <cell r="K38" t="str">
            <v/>
          </cell>
          <cell r="L38" t="str">
            <v/>
          </cell>
          <cell r="M38" t="str">
            <v/>
          </cell>
          <cell r="N38" t="str">
            <v/>
          </cell>
          <cell r="O38" t="str">
            <v/>
          </cell>
        </row>
        <row r="39">
          <cell r="A39" t="str">
            <v>Canada</v>
          </cell>
          <cell r="B39">
            <v>0.3</v>
          </cell>
          <cell r="C39">
            <v>0.3</v>
          </cell>
          <cell r="D39">
            <v>0.3</v>
          </cell>
          <cell r="E39" t="str">
            <v/>
          </cell>
          <cell r="F39" t="str">
            <v/>
          </cell>
          <cell r="G39" t="str">
            <v/>
          </cell>
          <cell r="H39">
            <v>0.3</v>
          </cell>
          <cell r="I39">
            <v>0.3</v>
          </cell>
          <cell r="J39">
            <v>0.3</v>
          </cell>
          <cell r="K39">
            <v>2010</v>
          </cell>
          <cell r="L39" t="str">
            <v>15-64</v>
          </cell>
          <cell r="M39" t="str">
            <v>ARQ</v>
          </cell>
          <cell r="N39" t="str">
            <v>HHS</v>
          </cell>
          <cell r="O39" t="str">
            <v/>
          </cell>
        </row>
        <row r="40">
          <cell r="A40" t="str">
            <v>Cape Verde</v>
          </cell>
          <cell r="B40">
            <v>0.18</v>
          </cell>
          <cell r="C40">
            <v>0.18</v>
          </cell>
          <cell r="D40">
            <v>0.18</v>
          </cell>
          <cell r="E40">
            <v>0.18</v>
          </cell>
          <cell r="F40">
            <v>0.18</v>
          </cell>
          <cell r="G40">
            <v>0.18</v>
          </cell>
          <cell r="K40">
            <v>2004</v>
          </cell>
          <cell r="L40" t="str">
            <v>15-64</v>
          </cell>
          <cell r="M40" t="str">
            <v>UNODC Estimate</v>
          </cell>
          <cell r="N40" t="str">
            <v/>
          </cell>
          <cell r="O40" t="str">
            <v/>
          </cell>
        </row>
        <row r="41">
          <cell r="A41" t="str">
            <v>Cayman Islands</v>
          </cell>
          <cell r="B41" t="str">
            <v/>
          </cell>
          <cell r="C41" t="str">
            <v/>
          </cell>
          <cell r="D41" t="str">
            <v/>
          </cell>
          <cell r="E41" t="str">
            <v/>
          </cell>
          <cell r="F41" t="str">
            <v/>
          </cell>
          <cell r="G41" t="str">
            <v/>
          </cell>
          <cell r="K41" t="str">
            <v/>
          </cell>
          <cell r="L41" t="str">
            <v/>
          </cell>
          <cell r="M41" t="str">
            <v/>
          </cell>
          <cell r="N41" t="str">
            <v/>
          </cell>
          <cell r="O41" t="str">
            <v/>
          </cell>
        </row>
        <row r="42">
          <cell r="A42" t="str">
            <v>Central African Republic</v>
          </cell>
          <cell r="B42">
            <v>0.05</v>
          </cell>
          <cell r="C42">
            <v>0.05</v>
          </cell>
          <cell r="D42">
            <v>0.05</v>
          </cell>
          <cell r="E42">
            <v>0.05</v>
          </cell>
          <cell r="F42">
            <v>0.05</v>
          </cell>
          <cell r="G42">
            <v>0.05</v>
          </cell>
          <cell r="K42">
            <v>2004</v>
          </cell>
          <cell r="L42" t="str">
            <v>15-64</v>
          </cell>
          <cell r="M42" t="str">
            <v>Cure Research estimate</v>
          </cell>
          <cell r="N42" t="str">
            <v/>
          </cell>
          <cell r="O42" t="str">
            <v/>
          </cell>
        </row>
        <row r="43">
          <cell r="A43" t="str">
            <v>Chad</v>
          </cell>
          <cell r="B43">
            <v>0.22</v>
          </cell>
          <cell r="C43">
            <v>0.22</v>
          </cell>
          <cell r="D43">
            <v>0.22</v>
          </cell>
          <cell r="E43">
            <v>0.22</v>
          </cell>
          <cell r="F43">
            <v>0.22</v>
          </cell>
          <cell r="G43">
            <v>0.22</v>
          </cell>
          <cell r="K43">
            <v>2004</v>
          </cell>
          <cell r="L43" t="str">
            <v>15-64</v>
          </cell>
          <cell r="M43" t="str">
            <v>Cure Research estimate</v>
          </cell>
          <cell r="N43" t="str">
            <v/>
          </cell>
          <cell r="O43" t="str">
            <v/>
          </cell>
        </row>
        <row r="44">
          <cell r="A44" t="str">
            <v>Channel Islands</v>
          </cell>
          <cell r="B44" t="str">
            <v/>
          </cell>
          <cell r="C44" t="str">
            <v/>
          </cell>
          <cell r="D44" t="str">
            <v/>
          </cell>
          <cell r="E44" t="str">
            <v/>
          </cell>
          <cell r="F44" t="str">
            <v/>
          </cell>
          <cell r="G44" t="str">
            <v/>
          </cell>
          <cell r="K44" t="str">
            <v/>
          </cell>
          <cell r="L44" t="str">
            <v/>
          </cell>
          <cell r="M44" t="str">
            <v/>
          </cell>
          <cell r="N44" t="str">
            <v/>
          </cell>
          <cell r="O44" t="str">
            <v/>
          </cell>
        </row>
        <row r="45">
          <cell r="A45" t="str">
            <v>Chile</v>
          </cell>
          <cell r="B45">
            <v>0.29</v>
          </cell>
          <cell r="C45">
            <v>0.29</v>
          </cell>
          <cell r="D45">
            <v>0.29</v>
          </cell>
          <cell r="E45">
            <v>0.02153</v>
          </cell>
          <cell r="F45">
            <v>0.02153</v>
          </cell>
          <cell r="G45">
            <v>0.02153</v>
          </cell>
          <cell r="H45">
            <v>0.27</v>
          </cell>
          <cell r="I45">
            <v>0.27</v>
          </cell>
          <cell r="J45">
            <v>0.27</v>
          </cell>
          <cell r="K45">
            <v>2010</v>
          </cell>
          <cell r="L45" t="str">
            <v>15-64</v>
          </cell>
          <cell r="M45" t="str">
            <v>ARQ</v>
          </cell>
          <cell r="N45" t="str">
            <v>HHS</v>
          </cell>
          <cell r="O45" t="str">
            <v/>
          </cell>
        </row>
        <row r="46">
          <cell r="A46" t="str">
            <v>China</v>
          </cell>
          <cell r="B46">
            <v>0.25</v>
          </cell>
          <cell r="C46">
            <v>0.19</v>
          </cell>
          <cell r="D46">
            <v>0.31</v>
          </cell>
          <cell r="E46">
            <v>0.25</v>
          </cell>
          <cell r="F46">
            <v>0.19</v>
          </cell>
          <cell r="G46">
            <v>0.31</v>
          </cell>
          <cell r="K46">
            <v>2005</v>
          </cell>
          <cell r="L46" t="str">
            <v>15-64</v>
          </cell>
          <cell r="M46" t="str">
            <v>Academic research/ Reference Group to the UN on HIV and IDU</v>
          </cell>
          <cell r="N46" t="str">
            <v>I</v>
          </cell>
          <cell r="O46" t="str">
            <v/>
          </cell>
        </row>
        <row r="47">
          <cell r="A47" t="str">
            <v>China, Hong Kong SAR</v>
          </cell>
          <cell r="B47">
            <v>0.2</v>
          </cell>
          <cell r="C47">
            <v>0.2</v>
          </cell>
          <cell r="D47">
            <v>0.2</v>
          </cell>
          <cell r="E47">
            <v>0.2</v>
          </cell>
          <cell r="F47">
            <v>0.2</v>
          </cell>
          <cell r="G47">
            <v>0.2</v>
          </cell>
          <cell r="K47">
            <v>2006</v>
          </cell>
          <cell r="L47" t="str">
            <v>15-64</v>
          </cell>
          <cell r="M47" t="str">
            <v>ARQ</v>
          </cell>
          <cell r="N47" t="str">
            <v/>
          </cell>
          <cell r="O47" t="str">
            <v/>
          </cell>
        </row>
        <row r="48">
          <cell r="A48" t="str">
            <v>China, Macao SAR</v>
          </cell>
          <cell r="B48">
            <v>1.12</v>
          </cell>
          <cell r="C48">
            <v>1.12</v>
          </cell>
          <cell r="D48">
            <v>1.12</v>
          </cell>
          <cell r="E48">
            <v>1.12</v>
          </cell>
          <cell r="F48">
            <v>1.12</v>
          </cell>
          <cell r="G48">
            <v>1.12</v>
          </cell>
          <cell r="K48">
            <v>2003</v>
          </cell>
          <cell r="L48" t="str">
            <v>15-64</v>
          </cell>
          <cell r="M48" t="str">
            <v>ARQ</v>
          </cell>
          <cell r="N48" t="str">
            <v/>
          </cell>
          <cell r="O48" t="str">
            <v/>
          </cell>
        </row>
        <row r="49">
          <cell r="A49" t="str">
            <v>Christmas Islands</v>
          </cell>
          <cell r="B49" t="str">
            <v/>
          </cell>
          <cell r="C49" t="str">
            <v/>
          </cell>
          <cell r="D49" t="str">
            <v/>
          </cell>
          <cell r="E49" t="str">
            <v/>
          </cell>
          <cell r="F49" t="str">
            <v/>
          </cell>
          <cell r="G49" t="str">
            <v/>
          </cell>
          <cell r="K49" t="str">
            <v/>
          </cell>
          <cell r="L49" t="str">
            <v/>
          </cell>
          <cell r="M49" t="str">
            <v/>
          </cell>
          <cell r="N49" t="str">
            <v/>
          </cell>
          <cell r="O49" t="str">
            <v/>
          </cell>
        </row>
        <row r="50">
          <cell r="A50" t="str">
            <v>Cocos (Keeling) Islands</v>
          </cell>
          <cell r="B50" t="str">
            <v/>
          </cell>
          <cell r="C50" t="str">
            <v/>
          </cell>
          <cell r="D50" t="str">
            <v/>
          </cell>
          <cell r="E50" t="str">
            <v/>
          </cell>
          <cell r="F50" t="str">
            <v/>
          </cell>
          <cell r="G50" t="str">
            <v/>
          </cell>
          <cell r="K50" t="str">
            <v/>
          </cell>
          <cell r="L50" t="str">
            <v/>
          </cell>
          <cell r="M50" t="str">
            <v/>
          </cell>
          <cell r="N50" t="str">
            <v/>
          </cell>
          <cell r="O50" t="str">
            <v/>
          </cell>
        </row>
        <row r="51">
          <cell r="A51" t="str">
            <v>Colombia</v>
          </cell>
          <cell r="B51">
            <v>0.02</v>
          </cell>
          <cell r="C51">
            <v>0.02</v>
          </cell>
          <cell r="D51">
            <v>0.02</v>
          </cell>
          <cell r="E51">
            <v>0.02</v>
          </cell>
          <cell r="F51">
            <v>0.02</v>
          </cell>
          <cell r="G51">
            <v>0.02</v>
          </cell>
          <cell r="K51">
            <v>2008</v>
          </cell>
          <cell r="L51" t="str">
            <v>15-64</v>
          </cell>
          <cell r="M51" t="str">
            <v>ARQ</v>
          </cell>
          <cell r="N51" t="str">
            <v>HHS</v>
          </cell>
          <cell r="O51" t="str">
            <v/>
          </cell>
        </row>
        <row r="52">
          <cell r="A52" t="str">
            <v>Comoros</v>
          </cell>
          <cell r="B52" t="str">
            <v/>
          </cell>
          <cell r="C52" t="str">
            <v/>
          </cell>
          <cell r="D52" t="str">
            <v/>
          </cell>
          <cell r="E52" t="str">
            <v/>
          </cell>
          <cell r="F52" t="str">
            <v/>
          </cell>
          <cell r="G52" t="str">
            <v/>
          </cell>
          <cell r="K52" t="str">
            <v/>
          </cell>
          <cell r="L52" t="str">
            <v/>
          </cell>
          <cell r="M52" t="str">
            <v/>
          </cell>
          <cell r="N52" t="str">
            <v/>
          </cell>
          <cell r="O52" t="str">
            <v/>
          </cell>
        </row>
        <row r="53">
          <cell r="A53" t="str">
            <v>Congo</v>
          </cell>
          <cell r="B53">
            <v>0.13</v>
          </cell>
          <cell r="C53">
            <v>0.13</v>
          </cell>
          <cell r="D53">
            <v>0.13</v>
          </cell>
          <cell r="E53">
            <v>0.13</v>
          </cell>
          <cell r="F53">
            <v>0.13</v>
          </cell>
          <cell r="G53">
            <v>0.13</v>
          </cell>
          <cell r="K53">
            <v>2004</v>
          </cell>
          <cell r="L53" t="str">
            <v>15-64</v>
          </cell>
          <cell r="M53" t="str">
            <v>Cure Research estimate</v>
          </cell>
          <cell r="N53" t="str">
            <v/>
          </cell>
          <cell r="O53" t="str">
            <v/>
          </cell>
        </row>
        <row r="54">
          <cell r="A54" t="str">
            <v>Congo (Dem. Rep. of the)</v>
          </cell>
          <cell r="B54">
            <v>0.17</v>
          </cell>
          <cell r="C54">
            <v>0.17</v>
          </cell>
          <cell r="D54">
            <v>0.17</v>
          </cell>
          <cell r="E54">
            <v>0.13</v>
          </cell>
          <cell r="F54">
            <v>0.13</v>
          </cell>
          <cell r="G54">
            <v>0.13</v>
          </cell>
          <cell r="K54">
            <v>2004</v>
          </cell>
          <cell r="L54" t="str">
            <v>15-64</v>
          </cell>
          <cell r="M54" t="str">
            <v>Cure Research estimate</v>
          </cell>
          <cell r="N54" t="str">
            <v/>
          </cell>
          <cell r="O54" t="str">
            <v/>
          </cell>
        </row>
        <row r="55">
          <cell r="A55" t="str">
            <v>Cook Islands</v>
          </cell>
          <cell r="B55" t="str">
            <v/>
          </cell>
          <cell r="C55" t="str">
            <v/>
          </cell>
          <cell r="D55" t="str">
            <v/>
          </cell>
          <cell r="E55" t="str">
            <v/>
          </cell>
          <cell r="F55" t="str">
            <v/>
          </cell>
          <cell r="G55" t="str">
            <v/>
          </cell>
          <cell r="K55" t="str">
            <v/>
          </cell>
          <cell r="L55" t="str">
            <v/>
          </cell>
          <cell r="M55" t="str">
            <v/>
          </cell>
          <cell r="N55" t="str">
            <v/>
          </cell>
          <cell r="O55" t="str">
            <v/>
          </cell>
        </row>
        <row r="56">
          <cell r="A56" t="str">
            <v>Costa Rica</v>
          </cell>
          <cell r="B56">
            <v>2.8</v>
          </cell>
          <cell r="C56">
            <v>2.8</v>
          </cell>
          <cell r="D56">
            <v>2.9</v>
          </cell>
          <cell r="E56">
            <v>0.09</v>
          </cell>
          <cell r="F56">
            <v>0.09</v>
          </cell>
          <cell r="G56">
            <v>0.09</v>
          </cell>
          <cell r="H56">
            <v>2.8</v>
          </cell>
          <cell r="I56">
            <v>2.8</v>
          </cell>
          <cell r="J56">
            <v>2.8</v>
          </cell>
          <cell r="K56">
            <v>2006</v>
          </cell>
          <cell r="L56" t="str">
            <v>12-70</v>
          </cell>
          <cell r="M56" t="str">
            <v>ARQ</v>
          </cell>
          <cell r="N56" t="str">
            <v>HHS</v>
          </cell>
          <cell r="O56" t="str">
            <v/>
          </cell>
        </row>
        <row r="57">
          <cell r="A57" t="str">
            <v>Côte d'Ivoire</v>
          </cell>
          <cell r="B57" t="str">
            <v/>
          </cell>
          <cell r="C57" t="str">
            <v/>
          </cell>
          <cell r="D57" t="str">
            <v/>
          </cell>
          <cell r="E57" t="str">
            <v/>
          </cell>
          <cell r="F57" t="str">
            <v/>
          </cell>
          <cell r="G57" t="str">
            <v/>
          </cell>
          <cell r="K57" t="str">
            <v/>
          </cell>
          <cell r="L57" t="str">
            <v/>
          </cell>
          <cell r="M57" t="str">
            <v/>
          </cell>
          <cell r="N57" t="str">
            <v/>
          </cell>
          <cell r="O57" t="str">
            <v/>
          </cell>
        </row>
        <row r="58">
          <cell r="A58" t="str">
            <v>Croatia</v>
          </cell>
          <cell r="B58">
            <v>0.39770400038313547</v>
          </cell>
          <cell r="C58">
            <v>0.3974400509794262</v>
          </cell>
          <cell r="D58">
            <v>0.3974400509794262</v>
          </cell>
          <cell r="E58">
            <v>0.3974400509794262</v>
          </cell>
          <cell r="F58">
            <v>0.3974400509794262</v>
          </cell>
          <cell r="G58">
            <v>0.3974400509794262</v>
          </cell>
          <cell r="K58">
            <v>2010</v>
          </cell>
          <cell r="L58" t="str">
            <v>15-64</v>
          </cell>
          <cell r="M58" t="str">
            <v>ARQ</v>
          </cell>
          <cell r="N58" t="str">
            <v>I</v>
          </cell>
          <cell r="O58" t="str">
            <v/>
          </cell>
        </row>
        <row r="59">
          <cell r="A59" t="str">
            <v>Cuba</v>
          </cell>
          <cell r="B59" t="str">
            <v/>
          </cell>
          <cell r="C59" t="str">
            <v/>
          </cell>
          <cell r="D59" t="str">
            <v/>
          </cell>
          <cell r="E59" t="str">
            <v/>
          </cell>
          <cell r="F59" t="str">
            <v/>
          </cell>
          <cell r="G59" t="str">
            <v/>
          </cell>
          <cell r="K59" t="str">
            <v/>
          </cell>
          <cell r="L59" t="str">
            <v/>
          </cell>
          <cell r="M59" t="str">
            <v/>
          </cell>
          <cell r="N59" t="str">
            <v/>
          </cell>
          <cell r="O59" t="str">
            <v/>
          </cell>
        </row>
        <row r="60">
          <cell r="A60" t="str">
            <v>Cyprus</v>
          </cell>
          <cell r="B60">
            <v>0.19</v>
          </cell>
          <cell r="C60">
            <v>0.16</v>
          </cell>
          <cell r="D60">
            <v>0.23</v>
          </cell>
          <cell r="E60" t="str">
            <v/>
          </cell>
          <cell r="F60" t="str">
            <v/>
          </cell>
          <cell r="G60" t="str">
            <v/>
          </cell>
          <cell r="K60">
            <v>2009</v>
          </cell>
          <cell r="L60" t="str">
            <v>15-64</v>
          </cell>
          <cell r="M60" t="str">
            <v>EMCDDA</v>
          </cell>
          <cell r="N60" t="str">
            <v>I</v>
          </cell>
          <cell r="O60" t="str">
            <v/>
          </cell>
        </row>
        <row r="61">
          <cell r="A61" t="str">
            <v>Czech Republic</v>
          </cell>
          <cell r="B61">
            <v>0.3</v>
          </cell>
          <cell r="C61">
            <v>0.3</v>
          </cell>
          <cell r="D61">
            <v>0.3</v>
          </cell>
          <cell r="E61">
            <v>0.225</v>
          </cell>
          <cell r="F61">
            <v>0.225</v>
          </cell>
          <cell r="G61">
            <v>0.225</v>
          </cell>
          <cell r="K61">
            <v>2010</v>
          </cell>
          <cell r="L61" t="str">
            <v>15-64</v>
          </cell>
          <cell r="M61" t="str">
            <v>ARQ</v>
          </cell>
          <cell r="N61" t="str">
            <v>HHS</v>
          </cell>
          <cell r="O61" t="str">
            <v/>
          </cell>
        </row>
        <row r="62">
          <cell r="A62" t="str">
            <v>Denmark</v>
          </cell>
          <cell r="B62">
            <v>0.5222435096344901</v>
          </cell>
          <cell r="C62">
            <v>0.491879046036887</v>
          </cell>
          <cell r="D62">
            <v>0.5526079732320931</v>
          </cell>
          <cell r="E62" t="str">
            <v/>
          </cell>
          <cell r="F62" t="str">
            <v/>
          </cell>
          <cell r="G62" t="str">
            <v/>
          </cell>
          <cell r="K62">
            <v>2009</v>
          </cell>
          <cell r="L62" t="str">
            <v>15-64</v>
          </cell>
          <cell r="M62" t="str">
            <v>Government source</v>
          </cell>
          <cell r="N62" t="str">
            <v>I</v>
          </cell>
          <cell r="O62" t="str">
            <v/>
          </cell>
        </row>
        <row r="63">
          <cell r="A63" t="str">
            <v>Djibouti</v>
          </cell>
          <cell r="B63" t="str">
            <v/>
          </cell>
          <cell r="C63" t="str">
            <v/>
          </cell>
          <cell r="D63" t="str">
            <v/>
          </cell>
          <cell r="E63" t="str">
            <v/>
          </cell>
          <cell r="F63" t="str">
            <v/>
          </cell>
          <cell r="G63" t="str">
            <v/>
          </cell>
          <cell r="K63" t="str">
            <v/>
          </cell>
          <cell r="L63" t="str">
            <v/>
          </cell>
          <cell r="M63" t="str">
            <v/>
          </cell>
          <cell r="N63" t="str">
            <v/>
          </cell>
          <cell r="O63" t="str">
            <v/>
          </cell>
        </row>
        <row r="64">
          <cell r="A64" t="str">
            <v>Dominica</v>
          </cell>
          <cell r="B64" t="str">
            <v/>
          </cell>
          <cell r="C64" t="str">
            <v/>
          </cell>
          <cell r="D64" t="str">
            <v/>
          </cell>
          <cell r="E64" t="str">
            <v/>
          </cell>
          <cell r="F64" t="str">
            <v/>
          </cell>
          <cell r="G64" t="str">
            <v/>
          </cell>
          <cell r="K64" t="str">
            <v/>
          </cell>
          <cell r="L64" t="str">
            <v/>
          </cell>
          <cell r="M64" t="str">
            <v/>
          </cell>
          <cell r="N64" t="str">
            <v/>
          </cell>
          <cell r="O64" t="str">
            <v/>
          </cell>
        </row>
        <row r="65">
          <cell r="A65" t="str">
            <v>Dominican Republic</v>
          </cell>
          <cell r="B65">
            <v>0.06805890319636124</v>
          </cell>
          <cell r="C65">
            <v>0.05103964959899807</v>
          </cell>
          <cell r="D65">
            <v>0.0850781567937244</v>
          </cell>
          <cell r="E65">
            <v>0.06805890319636124</v>
          </cell>
          <cell r="F65">
            <v>0.05103964959899807</v>
          </cell>
          <cell r="G65">
            <v>0.0850781567937244</v>
          </cell>
          <cell r="H65">
            <v>0.025735294117647065</v>
          </cell>
          <cell r="I65">
            <v>0.025735294117647065</v>
          </cell>
          <cell r="J65">
            <v>0.025735294117647065</v>
          </cell>
          <cell r="K65">
            <v>2008</v>
          </cell>
          <cell r="L65" t="str">
            <v>15-64</v>
          </cell>
          <cell r="M65" t="str">
            <v>UNODC Estimate</v>
          </cell>
          <cell r="N65" t="str">
            <v>SS</v>
          </cell>
          <cell r="O65" t="str">
            <v>d</v>
          </cell>
        </row>
        <row r="66">
          <cell r="A66" t="str">
            <v>Ecuador</v>
          </cell>
          <cell r="B66">
            <v>0.11</v>
          </cell>
          <cell r="C66">
            <v>0.1</v>
          </cell>
          <cell r="D66">
            <v>0.12</v>
          </cell>
          <cell r="E66">
            <v>0.1</v>
          </cell>
          <cell r="F66">
            <v>0.1</v>
          </cell>
          <cell r="G66">
            <v>0.1</v>
          </cell>
          <cell r="K66">
            <v>2007</v>
          </cell>
          <cell r="L66" t="str">
            <v>15-64</v>
          </cell>
          <cell r="M66" t="str">
            <v>ARQ</v>
          </cell>
          <cell r="N66" t="str">
            <v>HHS</v>
          </cell>
          <cell r="O66" t="str">
            <v/>
          </cell>
        </row>
        <row r="67">
          <cell r="A67" t="str">
            <v>Egypt</v>
          </cell>
          <cell r="B67">
            <v>0.44</v>
          </cell>
          <cell r="C67">
            <v>0.14</v>
          </cell>
          <cell r="D67">
            <v>0.73</v>
          </cell>
          <cell r="E67">
            <v>0.44</v>
          </cell>
          <cell r="F67">
            <v>0.14</v>
          </cell>
          <cell r="G67">
            <v>0.73</v>
          </cell>
          <cell r="K67">
            <v>2006</v>
          </cell>
          <cell r="L67" t="str">
            <v>15-64</v>
          </cell>
          <cell r="M67" t="str">
            <v>Govt;  Academic Research</v>
          </cell>
          <cell r="N67" t="str">
            <v>HHS, SS</v>
          </cell>
          <cell r="O67" t="str">
            <v>a, d</v>
          </cell>
        </row>
        <row r="68">
          <cell r="A68" t="str">
            <v>El Salvador</v>
          </cell>
          <cell r="B68">
            <v>0.14</v>
          </cell>
          <cell r="C68">
            <v>0.14</v>
          </cell>
          <cell r="D68">
            <v>0.14</v>
          </cell>
          <cell r="E68">
            <v>0.11</v>
          </cell>
          <cell r="F68">
            <v>0.11</v>
          </cell>
          <cell r="G68">
            <v>0.11</v>
          </cell>
          <cell r="H68">
            <v>0.06230769230769231</v>
          </cell>
          <cell r="I68">
            <v>0.06230769230769231</v>
          </cell>
          <cell r="J68">
            <v>0.06230769230769231</v>
          </cell>
          <cell r="K68">
            <v>2005</v>
          </cell>
          <cell r="L68" t="str">
            <v>15-64</v>
          </cell>
          <cell r="M68" t="str">
            <v>UNODC Estimate</v>
          </cell>
          <cell r="N68" t="str">
            <v>HHS</v>
          </cell>
          <cell r="O68" t="str">
            <v>e</v>
          </cell>
        </row>
        <row r="69">
          <cell r="A69" t="str">
            <v>Equatorial Guinea</v>
          </cell>
          <cell r="B69" t="str">
            <v/>
          </cell>
          <cell r="C69" t="str">
            <v/>
          </cell>
          <cell r="D69" t="str">
            <v/>
          </cell>
          <cell r="E69" t="str">
            <v/>
          </cell>
          <cell r="F69" t="str">
            <v/>
          </cell>
          <cell r="G69" t="str">
            <v/>
          </cell>
          <cell r="K69" t="str">
            <v/>
          </cell>
          <cell r="L69" t="str">
            <v/>
          </cell>
          <cell r="M69" t="str">
            <v/>
          </cell>
          <cell r="N69" t="str">
            <v/>
          </cell>
          <cell r="O69" t="str">
            <v/>
          </cell>
        </row>
        <row r="70">
          <cell r="A70" t="str">
            <v>Eritrea</v>
          </cell>
          <cell r="B70" t="str">
            <v/>
          </cell>
          <cell r="C70" t="str">
            <v/>
          </cell>
          <cell r="D70" t="str">
            <v/>
          </cell>
          <cell r="E70" t="str">
            <v/>
          </cell>
          <cell r="F70" t="str">
            <v/>
          </cell>
          <cell r="G70" t="str">
            <v/>
          </cell>
          <cell r="K70" t="str">
            <v/>
          </cell>
          <cell r="L70" t="str">
            <v/>
          </cell>
          <cell r="M70" t="str">
            <v/>
          </cell>
          <cell r="N70" t="str">
            <v/>
          </cell>
          <cell r="O70" t="str">
            <v/>
          </cell>
        </row>
        <row r="71">
          <cell r="A71" t="str">
            <v>Estonia</v>
          </cell>
          <cell r="B71">
            <v>1.534574903080643</v>
          </cell>
          <cell r="C71">
            <v>1.534574903080643</v>
          </cell>
          <cell r="D71">
            <v>1.534574903080643</v>
          </cell>
          <cell r="E71" t="str">
            <v/>
          </cell>
          <cell r="F71" t="str">
            <v/>
          </cell>
          <cell r="G71" t="str">
            <v/>
          </cell>
          <cell r="H71">
            <v>0.7101978912523988</v>
          </cell>
          <cell r="I71">
            <v>0.4158395547464704</v>
          </cell>
          <cell r="J71">
            <v>1.770822373583284</v>
          </cell>
          <cell r="K71">
            <v>2008</v>
          </cell>
          <cell r="L71" t="str">
            <v>15-64</v>
          </cell>
          <cell r="M71" t="str">
            <v>ARQ</v>
          </cell>
          <cell r="N71" t="str">
            <v>I</v>
          </cell>
          <cell r="O71" t="str">
            <v/>
          </cell>
        </row>
        <row r="72">
          <cell r="A72" t="str">
            <v>Ethiopia</v>
          </cell>
          <cell r="B72" t="str">
            <v/>
          </cell>
          <cell r="C72" t="str">
            <v/>
          </cell>
          <cell r="D72" t="str">
            <v/>
          </cell>
          <cell r="E72" t="str">
            <v/>
          </cell>
          <cell r="F72" t="str">
            <v/>
          </cell>
          <cell r="G72" t="str">
            <v/>
          </cell>
          <cell r="K72" t="str">
            <v/>
          </cell>
          <cell r="L72" t="str">
            <v/>
          </cell>
          <cell r="M72" t="str">
            <v/>
          </cell>
          <cell r="N72" t="str">
            <v/>
          </cell>
          <cell r="O72" t="str">
            <v/>
          </cell>
        </row>
        <row r="73">
          <cell r="A73" t="str">
            <v>Faeroe Islands</v>
          </cell>
          <cell r="B73" t="str">
            <v/>
          </cell>
          <cell r="C73" t="str">
            <v/>
          </cell>
          <cell r="D73" t="str">
            <v/>
          </cell>
          <cell r="E73" t="str">
            <v/>
          </cell>
          <cell r="F73" t="str">
            <v/>
          </cell>
          <cell r="G73" t="str">
            <v/>
          </cell>
          <cell r="K73" t="str">
            <v/>
          </cell>
          <cell r="L73" t="str">
            <v/>
          </cell>
          <cell r="M73" t="str">
            <v/>
          </cell>
          <cell r="N73" t="str">
            <v/>
          </cell>
          <cell r="O73" t="str">
            <v/>
          </cell>
        </row>
        <row r="74">
          <cell r="A74" t="str">
            <v>Falkland Islands (Malvinas)</v>
          </cell>
          <cell r="B74" t="str">
            <v/>
          </cell>
          <cell r="C74" t="str">
            <v/>
          </cell>
          <cell r="D74" t="str">
            <v/>
          </cell>
          <cell r="E74" t="str">
            <v/>
          </cell>
          <cell r="F74" t="str">
            <v/>
          </cell>
          <cell r="G74" t="str">
            <v/>
          </cell>
          <cell r="K74" t="str">
            <v/>
          </cell>
          <cell r="L74" t="str">
            <v/>
          </cell>
          <cell r="M74" t="str">
            <v/>
          </cell>
          <cell r="N74" t="str">
            <v/>
          </cell>
          <cell r="O74" t="str">
            <v/>
          </cell>
        </row>
        <row r="75">
          <cell r="A75" t="str">
            <v>Fiji</v>
          </cell>
          <cell r="B75" t="str">
            <v/>
          </cell>
          <cell r="C75" t="str">
            <v/>
          </cell>
          <cell r="D75" t="str">
            <v/>
          </cell>
          <cell r="E75" t="str">
            <v/>
          </cell>
          <cell r="F75" t="str">
            <v/>
          </cell>
          <cell r="G75" t="str">
            <v/>
          </cell>
          <cell r="K75" t="str">
            <v/>
          </cell>
          <cell r="L75" t="str">
            <v/>
          </cell>
          <cell r="M75" t="str">
            <v/>
          </cell>
          <cell r="N75" t="str">
            <v/>
          </cell>
          <cell r="O75" t="str">
            <v/>
          </cell>
        </row>
        <row r="76">
          <cell r="A76" t="str">
            <v>Finland</v>
          </cell>
          <cell r="B76">
            <v>0.2</v>
          </cell>
          <cell r="C76">
            <v>0.2</v>
          </cell>
          <cell r="D76">
            <v>0.2</v>
          </cell>
          <cell r="E76">
            <v>0.006896551800000001</v>
          </cell>
          <cell r="F76">
            <v>0.006896551800000001</v>
          </cell>
          <cell r="G76">
            <v>0.006896551800000001</v>
          </cell>
          <cell r="K76">
            <v>2006</v>
          </cell>
          <cell r="L76" t="str">
            <v>15-64</v>
          </cell>
          <cell r="M76" t="str">
            <v>ARQ</v>
          </cell>
          <cell r="N76" t="str">
            <v>HHS</v>
          </cell>
          <cell r="O76" t="str">
            <v/>
          </cell>
        </row>
        <row r="77">
          <cell r="A77" t="str">
            <v>France</v>
          </cell>
          <cell r="B77">
            <v>0.5893398429208235</v>
          </cell>
          <cell r="C77">
            <v>0.33038748769803744</v>
          </cell>
          <cell r="D77">
            <v>0.8482921981436097</v>
          </cell>
          <cell r="E77">
            <v>0.4831713012099341</v>
          </cell>
          <cell r="F77">
            <v>0.2708687597692055</v>
          </cell>
          <cell r="G77">
            <v>0.6954738426506628</v>
          </cell>
          <cell r="K77">
            <v>2008</v>
          </cell>
          <cell r="L77" t="str">
            <v>15-64</v>
          </cell>
          <cell r="M77" t="str">
            <v>UNODC Estimate</v>
          </cell>
          <cell r="N77" t="str">
            <v>I</v>
          </cell>
          <cell r="O77" t="str">
            <v/>
          </cell>
        </row>
        <row r="78">
          <cell r="A78" t="str">
            <v>French Guiana</v>
          </cell>
          <cell r="B78" t="str">
            <v/>
          </cell>
          <cell r="C78" t="str">
            <v/>
          </cell>
          <cell r="D78" t="str">
            <v/>
          </cell>
          <cell r="E78" t="str">
            <v/>
          </cell>
          <cell r="F78" t="str">
            <v/>
          </cell>
          <cell r="G78" t="str">
            <v/>
          </cell>
          <cell r="K78" t="str">
            <v/>
          </cell>
          <cell r="L78" t="str">
            <v/>
          </cell>
          <cell r="M78" t="str">
            <v/>
          </cell>
          <cell r="N78" t="str">
            <v/>
          </cell>
          <cell r="O78" t="str">
            <v/>
          </cell>
        </row>
        <row r="79">
          <cell r="A79" t="str">
            <v>French Polynesia</v>
          </cell>
          <cell r="B79" t="str">
            <v/>
          </cell>
          <cell r="C79" t="str">
            <v/>
          </cell>
          <cell r="D79" t="str">
            <v/>
          </cell>
          <cell r="E79" t="str">
            <v/>
          </cell>
          <cell r="F79" t="str">
            <v/>
          </cell>
          <cell r="G79" t="str">
            <v/>
          </cell>
          <cell r="K79" t="str">
            <v/>
          </cell>
          <cell r="L79" t="str">
            <v/>
          </cell>
          <cell r="M79" t="str">
            <v/>
          </cell>
          <cell r="N79" t="str">
            <v/>
          </cell>
          <cell r="O79" t="str">
            <v/>
          </cell>
        </row>
        <row r="80">
          <cell r="A80" t="str">
            <v>Gabon</v>
          </cell>
          <cell r="B80" t="str">
            <v/>
          </cell>
          <cell r="C80" t="str">
            <v/>
          </cell>
          <cell r="D80" t="str">
            <v/>
          </cell>
          <cell r="E80" t="str">
            <v/>
          </cell>
          <cell r="F80" t="str">
            <v/>
          </cell>
          <cell r="G80" t="str">
            <v/>
          </cell>
          <cell r="K80" t="str">
            <v/>
          </cell>
          <cell r="L80" t="str">
            <v/>
          </cell>
          <cell r="M80" t="str">
            <v/>
          </cell>
          <cell r="N80" t="str">
            <v/>
          </cell>
          <cell r="O80" t="str">
            <v/>
          </cell>
        </row>
        <row r="81">
          <cell r="A81" t="str">
            <v>Gambia</v>
          </cell>
          <cell r="B81" t="str">
            <v/>
          </cell>
          <cell r="C81" t="str">
            <v/>
          </cell>
          <cell r="D81" t="str">
            <v/>
          </cell>
          <cell r="E81" t="str">
            <v/>
          </cell>
          <cell r="F81" t="str">
            <v/>
          </cell>
          <cell r="G81" t="str">
            <v/>
          </cell>
          <cell r="K81" t="str">
            <v/>
          </cell>
          <cell r="L81" t="str">
            <v/>
          </cell>
          <cell r="M81" t="str">
            <v/>
          </cell>
          <cell r="N81" t="str">
            <v/>
          </cell>
          <cell r="O81" t="str">
            <v/>
          </cell>
        </row>
        <row r="82">
          <cell r="A82" t="str">
            <v>Georgia</v>
          </cell>
          <cell r="B82">
            <v>1.364495220343805</v>
          </cell>
          <cell r="C82">
            <v>1.33038283983521</v>
          </cell>
          <cell r="D82">
            <v>1.3986076008524</v>
          </cell>
          <cell r="E82">
            <v>0.7231824667822166</v>
          </cell>
          <cell r="F82">
            <v>0.7051029051126614</v>
          </cell>
          <cell r="G82">
            <v>0.741262028451772</v>
          </cell>
          <cell r="H82">
            <v>0.2658333333333333</v>
          </cell>
          <cell r="I82">
            <v>0.27</v>
          </cell>
          <cell r="J82">
            <v>0.27</v>
          </cell>
          <cell r="K82">
            <v>2010</v>
          </cell>
          <cell r="L82" t="str">
            <v>15-64</v>
          </cell>
          <cell r="M82" t="str">
            <v>SCAD Report - Academic Research</v>
          </cell>
          <cell r="N82" t="str">
            <v/>
          </cell>
          <cell r="O82" t="str">
            <v>i</v>
          </cell>
        </row>
        <row r="83">
          <cell r="A83" t="str">
            <v>Germany</v>
          </cell>
          <cell r="B83">
            <v>0.20483145411649586</v>
          </cell>
          <cell r="C83">
            <v>0.16</v>
          </cell>
          <cell r="D83">
            <v>0.23</v>
          </cell>
          <cell r="E83" t="str">
            <v/>
          </cell>
          <cell r="F83" t="str">
            <v/>
          </cell>
          <cell r="G83" t="str">
            <v/>
          </cell>
          <cell r="K83">
            <v>2009</v>
          </cell>
          <cell r="L83" t="str">
            <v>15-64</v>
          </cell>
          <cell r="M83" t="str">
            <v>ARQ/EMCDDA</v>
          </cell>
          <cell r="N83" t="str">
            <v>I</v>
          </cell>
          <cell r="O83" t="str">
            <v/>
          </cell>
        </row>
        <row r="84">
          <cell r="A84" t="str">
            <v>Ghana</v>
          </cell>
          <cell r="B84">
            <v>0.14</v>
          </cell>
          <cell r="C84">
            <v>0.14</v>
          </cell>
          <cell r="D84">
            <v>0.14</v>
          </cell>
          <cell r="E84">
            <v>0.14</v>
          </cell>
          <cell r="F84">
            <v>0.14</v>
          </cell>
          <cell r="G84">
            <v>0.14</v>
          </cell>
          <cell r="K84">
            <v>2004</v>
          </cell>
          <cell r="L84" t="str">
            <v>15-65</v>
          </cell>
          <cell r="M84" t="str">
            <v>Cure Research estimate</v>
          </cell>
          <cell r="N84" t="str">
            <v/>
          </cell>
          <cell r="O84" t="str">
            <v/>
          </cell>
        </row>
        <row r="85">
          <cell r="A85" t="str">
            <v>Gibraltar</v>
          </cell>
          <cell r="B85" t="str">
            <v/>
          </cell>
          <cell r="C85" t="str">
            <v/>
          </cell>
          <cell r="D85" t="str">
            <v/>
          </cell>
          <cell r="E85" t="str">
            <v/>
          </cell>
          <cell r="F85" t="str">
            <v/>
          </cell>
          <cell r="G85" t="str">
            <v/>
          </cell>
          <cell r="K85" t="str">
            <v/>
          </cell>
          <cell r="L85" t="str">
            <v/>
          </cell>
          <cell r="M85" t="str">
            <v/>
          </cell>
          <cell r="N85" t="str">
            <v/>
          </cell>
          <cell r="O85" t="str">
            <v/>
          </cell>
        </row>
        <row r="86">
          <cell r="A86" t="str">
            <v>Greece</v>
          </cell>
          <cell r="B86">
            <v>0.32</v>
          </cell>
          <cell r="C86">
            <v>0.28</v>
          </cell>
          <cell r="D86">
            <v>0.36</v>
          </cell>
          <cell r="E86" t="str">
            <v/>
          </cell>
          <cell r="F86" t="str">
            <v/>
          </cell>
          <cell r="G86" t="str">
            <v/>
          </cell>
          <cell r="K86">
            <v>2009</v>
          </cell>
          <cell r="L86" t="str">
            <v>15-64</v>
          </cell>
          <cell r="M86" t="str">
            <v>EMCDDA</v>
          </cell>
          <cell r="N86" t="str">
            <v>I</v>
          </cell>
          <cell r="O86" t="str">
            <v/>
          </cell>
        </row>
        <row r="87">
          <cell r="A87" t="str">
            <v>Greenland</v>
          </cell>
          <cell r="B87" t="str">
            <v/>
          </cell>
          <cell r="C87" t="str">
            <v/>
          </cell>
          <cell r="D87" t="str">
            <v/>
          </cell>
          <cell r="E87" t="str">
            <v/>
          </cell>
          <cell r="F87" t="str">
            <v/>
          </cell>
          <cell r="G87" t="str">
            <v/>
          </cell>
          <cell r="K87" t="str">
            <v/>
          </cell>
          <cell r="L87" t="str">
            <v/>
          </cell>
          <cell r="M87" t="str">
            <v/>
          </cell>
          <cell r="N87" t="str">
            <v/>
          </cell>
          <cell r="O87" t="str">
            <v/>
          </cell>
        </row>
        <row r="88">
          <cell r="A88" t="str">
            <v>Grenada</v>
          </cell>
          <cell r="B88" t="str">
            <v/>
          </cell>
          <cell r="C88" t="str">
            <v/>
          </cell>
          <cell r="D88" t="str">
            <v/>
          </cell>
          <cell r="E88" t="str">
            <v/>
          </cell>
          <cell r="F88" t="str">
            <v/>
          </cell>
          <cell r="G88" t="str">
            <v/>
          </cell>
          <cell r="K88" t="str">
            <v/>
          </cell>
          <cell r="L88" t="str">
            <v/>
          </cell>
          <cell r="M88" t="str">
            <v/>
          </cell>
          <cell r="N88" t="str">
            <v/>
          </cell>
          <cell r="O88" t="str">
            <v/>
          </cell>
        </row>
        <row r="89">
          <cell r="A89" t="str">
            <v>Guadeloupe</v>
          </cell>
          <cell r="B89" t="str">
            <v/>
          </cell>
          <cell r="C89" t="str">
            <v/>
          </cell>
          <cell r="D89" t="str">
            <v/>
          </cell>
          <cell r="E89" t="str">
            <v/>
          </cell>
          <cell r="F89" t="str">
            <v/>
          </cell>
          <cell r="G89" t="str">
            <v/>
          </cell>
          <cell r="K89" t="str">
            <v/>
          </cell>
          <cell r="L89" t="str">
            <v/>
          </cell>
          <cell r="M89" t="str">
            <v/>
          </cell>
          <cell r="N89" t="str">
            <v/>
          </cell>
          <cell r="O89" t="str">
            <v/>
          </cell>
        </row>
        <row r="90">
          <cell r="A90" t="str">
            <v>Guam</v>
          </cell>
          <cell r="B90" t="str">
            <v/>
          </cell>
          <cell r="C90" t="str">
            <v/>
          </cell>
          <cell r="D90" t="str">
            <v/>
          </cell>
          <cell r="E90" t="str">
            <v/>
          </cell>
          <cell r="F90" t="str">
            <v/>
          </cell>
          <cell r="G90" t="str">
            <v/>
          </cell>
          <cell r="K90" t="str">
            <v/>
          </cell>
          <cell r="L90" t="str">
            <v/>
          </cell>
          <cell r="M90" t="str">
            <v/>
          </cell>
          <cell r="N90" t="str">
            <v/>
          </cell>
          <cell r="O90" t="str">
            <v/>
          </cell>
        </row>
        <row r="91">
          <cell r="A91" t="str">
            <v>Guatemala</v>
          </cell>
          <cell r="B91">
            <v>0.04</v>
          </cell>
          <cell r="C91">
            <v>0.04</v>
          </cell>
          <cell r="D91">
            <v>0.04</v>
          </cell>
          <cell r="E91">
            <v>0.04</v>
          </cell>
          <cell r="F91">
            <v>0.04</v>
          </cell>
          <cell r="G91">
            <v>0.04</v>
          </cell>
          <cell r="H91">
            <v>0</v>
          </cell>
          <cell r="I91">
            <v>0</v>
          </cell>
          <cell r="J91">
            <v>0</v>
          </cell>
          <cell r="K91">
            <v>2005</v>
          </cell>
          <cell r="L91" t="str">
            <v>15-65</v>
          </cell>
          <cell r="M91" t="str">
            <v>ARQ</v>
          </cell>
          <cell r="N91" t="str">
            <v/>
          </cell>
          <cell r="O91" t="str">
            <v/>
          </cell>
        </row>
        <row r="92">
          <cell r="A92" t="str">
            <v>Guinea</v>
          </cell>
          <cell r="B92" t="str">
            <v/>
          </cell>
          <cell r="C92" t="str">
            <v/>
          </cell>
          <cell r="D92" t="str">
            <v/>
          </cell>
          <cell r="E92" t="str">
            <v/>
          </cell>
          <cell r="F92" t="str">
            <v/>
          </cell>
          <cell r="G92" t="str">
            <v/>
          </cell>
          <cell r="K92" t="str">
            <v/>
          </cell>
          <cell r="L92" t="str">
            <v/>
          </cell>
          <cell r="M92" t="str">
            <v/>
          </cell>
          <cell r="N92" t="str">
            <v/>
          </cell>
          <cell r="O92" t="str">
            <v/>
          </cell>
        </row>
        <row r="93">
          <cell r="A93" t="str">
            <v>Guinea-Bissau</v>
          </cell>
          <cell r="B93" t="str">
            <v/>
          </cell>
          <cell r="C93" t="str">
            <v/>
          </cell>
          <cell r="D93" t="str">
            <v/>
          </cell>
          <cell r="E93" t="str">
            <v/>
          </cell>
          <cell r="F93" t="str">
            <v/>
          </cell>
          <cell r="G93" t="str">
            <v/>
          </cell>
          <cell r="K93" t="str">
            <v/>
          </cell>
          <cell r="L93" t="str">
            <v/>
          </cell>
          <cell r="M93" t="str">
            <v/>
          </cell>
          <cell r="N93" t="str">
            <v/>
          </cell>
          <cell r="O93" t="str">
            <v/>
          </cell>
        </row>
        <row r="94">
          <cell r="A94" t="str">
            <v>Guyana</v>
          </cell>
          <cell r="B94">
            <v>0.25</v>
          </cell>
          <cell r="C94">
            <v>0.25</v>
          </cell>
          <cell r="D94">
            <v>0.25</v>
          </cell>
          <cell r="E94">
            <v>0.07</v>
          </cell>
          <cell r="F94">
            <v>0.07</v>
          </cell>
          <cell r="G94">
            <v>0.07</v>
          </cell>
          <cell r="H94">
            <v>0.18</v>
          </cell>
          <cell r="I94">
            <v>0.18</v>
          </cell>
          <cell r="J94">
            <v>0.18</v>
          </cell>
          <cell r="K94">
            <v>2002</v>
          </cell>
          <cell r="L94" t="str">
            <v>15-64</v>
          </cell>
          <cell r="M94" t="str">
            <v>UNODC Estimate</v>
          </cell>
          <cell r="N94" t="str">
            <v/>
          </cell>
          <cell r="O94" t="str">
            <v/>
          </cell>
        </row>
        <row r="95">
          <cell r="A95" t="str">
            <v>Haiti</v>
          </cell>
          <cell r="B95">
            <v>0.2</v>
          </cell>
          <cell r="C95">
            <v>0.19</v>
          </cell>
          <cell r="D95">
            <v>0.22</v>
          </cell>
          <cell r="E95">
            <v>0.07</v>
          </cell>
          <cell r="F95">
            <v>0.07</v>
          </cell>
          <cell r="G95">
            <v>0.07</v>
          </cell>
          <cell r="H95">
            <v>0.13333333333333336</v>
          </cell>
          <cell r="I95">
            <v>0.13333333333333336</v>
          </cell>
          <cell r="J95">
            <v>0.13333333333333336</v>
          </cell>
          <cell r="K95">
            <v>2006</v>
          </cell>
          <cell r="L95" t="str">
            <v>15-64</v>
          </cell>
          <cell r="M95" t="str">
            <v>ARQ</v>
          </cell>
          <cell r="N95" t="str">
            <v>SS</v>
          </cell>
          <cell r="O95" t="str">
            <v>a, d, e</v>
          </cell>
        </row>
        <row r="96">
          <cell r="A96" t="str">
            <v>Honduras</v>
          </cell>
          <cell r="B96">
            <v>0.15</v>
          </cell>
          <cell r="C96">
            <v>0.15</v>
          </cell>
          <cell r="D96">
            <v>0.15</v>
          </cell>
          <cell r="E96">
            <v>0.15</v>
          </cell>
          <cell r="F96">
            <v>0.15</v>
          </cell>
          <cell r="G96">
            <v>0.15</v>
          </cell>
          <cell r="K96">
            <v>2005</v>
          </cell>
          <cell r="L96" t="str">
            <v>15-64</v>
          </cell>
          <cell r="M96" t="str">
            <v>UNODC Estimate</v>
          </cell>
          <cell r="N96" t="str">
            <v>HHS</v>
          </cell>
          <cell r="O96" t="str">
            <v>e</v>
          </cell>
        </row>
        <row r="97">
          <cell r="A97" t="str">
            <v>Hungary</v>
          </cell>
          <cell r="B97">
            <v>0.05</v>
          </cell>
          <cell r="C97">
            <v>0.04</v>
          </cell>
          <cell r="D97">
            <v>0.2</v>
          </cell>
          <cell r="E97" t="str">
            <v/>
          </cell>
          <cell r="F97" t="str">
            <v/>
          </cell>
          <cell r="G97" t="str">
            <v/>
          </cell>
          <cell r="K97">
            <v>2007</v>
          </cell>
          <cell r="L97" t="str">
            <v>15-64</v>
          </cell>
          <cell r="M97" t="str">
            <v>EMCDDA</v>
          </cell>
          <cell r="N97" t="str">
            <v>I</v>
          </cell>
          <cell r="O97" t="str">
            <v>g</v>
          </cell>
        </row>
        <row r="98">
          <cell r="A98" t="str">
            <v>Iceland</v>
          </cell>
          <cell r="B98">
            <v>0.4</v>
          </cell>
          <cell r="C98">
            <v>0.4</v>
          </cell>
          <cell r="D98">
            <v>0.4</v>
          </cell>
          <cell r="E98" t="str">
            <v/>
          </cell>
          <cell r="F98" t="str">
            <v/>
          </cell>
          <cell r="G98" t="str">
            <v/>
          </cell>
          <cell r="K98">
            <v>2005</v>
          </cell>
          <cell r="L98" t="str">
            <v>15-64</v>
          </cell>
          <cell r="M98" t="str">
            <v>ARQ</v>
          </cell>
          <cell r="N98" t="str">
            <v/>
          </cell>
          <cell r="O98" t="str">
            <v/>
          </cell>
        </row>
        <row r="99">
          <cell r="A99" t="str">
            <v>India</v>
          </cell>
          <cell r="B99">
            <v>0.29713868206352106</v>
          </cell>
          <cell r="C99" t="str">
            <v/>
          </cell>
          <cell r="D99" t="str">
            <v/>
          </cell>
          <cell r="E99">
            <v>0.286</v>
          </cell>
          <cell r="F99" t="str">
            <v/>
          </cell>
          <cell r="G99" t="str">
            <v/>
          </cell>
          <cell r="K99" t="str">
            <v/>
          </cell>
          <cell r="L99" t="str">
            <v/>
          </cell>
          <cell r="M99" t="str">
            <v/>
          </cell>
          <cell r="N99" t="str">
            <v/>
          </cell>
          <cell r="O99" t="str">
            <v/>
          </cell>
        </row>
        <row r="100">
          <cell r="A100" t="str">
            <v>Indonesia</v>
          </cell>
          <cell r="B100">
            <v>0.5088760825549943</v>
          </cell>
          <cell r="C100">
            <v>0.5088760825549943</v>
          </cell>
          <cell r="D100">
            <v>0.5088760825549943</v>
          </cell>
          <cell r="E100">
            <v>0.5088760825549943</v>
          </cell>
          <cell r="F100">
            <v>0.5088760825549943</v>
          </cell>
          <cell r="G100">
            <v>0.5088760825549943</v>
          </cell>
          <cell r="K100">
            <v>2010</v>
          </cell>
          <cell r="L100" t="str">
            <v>15-64</v>
          </cell>
          <cell r="M100" t="str">
            <v>UNODC Estimate</v>
          </cell>
          <cell r="N100" t="str">
            <v>I</v>
          </cell>
          <cell r="O100" t="str">
            <v/>
          </cell>
        </row>
        <row r="101">
          <cell r="A101" t="str">
            <v>Iran (Islamic Republic of)</v>
          </cell>
          <cell r="B101">
            <v>2.27</v>
          </cell>
          <cell r="C101">
            <v>2.27</v>
          </cell>
          <cell r="D101">
            <v>2.27</v>
          </cell>
          <cell r="E101">
            <v>2.274984332941227</v>
          </cell>
          <cell r="F101">
            <v>2.274984332941227</v>
          </cell>
          <cell r="G101">
            <v>2.274984332941227</v>
          </cell>
          <cell r="K101">
            <v>2010</v>
          </cell>
          <cell r="L101" t="str">
            <v>15-64</v>
          </cell>
          <cell r="M101" t="str">
            <v>ARQ</v>
          </cell>
          <cell r="N101" t="str">
            <v/>
          </cell>
          <cell r="O101" t="str">
            <v/>
          </cell>
        </row>
        <row r="102">
          <cell r="A102" t="str">
            <v>Iraq</v>
          </cell>
          <cell r="B102" t="str">
            <v/>
          </cell>
          <cell r="C102" t="str">
            <v/>
          </cell>
          <cell r="D102" t="str">
            <v/>
          </cell>
          <cell r="E102" t="str">
            <v/>
          </cell>
          <cell r="F102" t="str">
            <v/>
          </cell>
          <cell r="G102" t="str">
            <v/>
          </cell>
          <cell r="K102" t="str">
            <v/>
          </cell>
          <cell r="L102" t="str">
            <v/>
          </cell>
          <cell r="M102" t="str">
            <v/>
          </cell>
          <cell r="N102" t="str">
            <v/>
          </cell>
          <cell r="O102" t="str">
            <v/>
          </cell>
        </row>
        <row r="103">
          <cell r="A103" t="str">
            <v>Ireland</v>
          </cell>
          <cell r="B103">
            <v>0.72</v>
          </cell>
          <cell r="C103">
            <v>0.62</v>
          </cell>
          <cell r="D103">
            <v>0.81</v>
          </cell>
          <cell r="E103" t="str">
            <v/>
          </cell>
          <cell r="F103" t="str">
            <v/>
          </cell>
          <cell r="G103" t="str">
            <v/>
          </cell>
          <cell r="K103">
            <v>2006</v>
          </cell>
          <cell r="L103" t="str">
            <v>15-64</v>
          </cell>
          <cell r="M103" t="str">
            <v>EMCDDA</v>
          </cell>
          <cell r="N103" t="str">
            <v>I</v>
          </cell>
          <cell r="O103" t="str">
            <v/>
          </cell>
        </row>
        <row r="104">
          <cell r="A104" t="str">
            <v>Isle of Man</v>
          </cell>
          <cell r="B104" t="str">
            <v/>
          </cell>
          <cell r="C104" t="str">
            <v/>
          </cell>
          <cell r="D104" t="str">
            <v/>
          </cell>
          <cell r="E104" t="str">
            <v/>
          </cell>
          <cell r="F104" t="str">
            <v/>
          </cell>
          <cell r="G104" t="str">
            <v/>
          </cell>
          <cell r="K104" t="str">
            <v/>
          </cell>
          <cell r="L104" t="str">
            <v/>
          </cell>
          <cell r="M104" t="str">
            <v/>
          </cell>
          <cell r="N104" t="str">
            <v/>
          </cell>
          <cell r="O104" t="str">
            <v/>
          </cell>
        </row>
        <row r="105">
          <cell r="A105" t="str">
            <v>Israel</v>
          </cell>
          <cell r="B105">
            <v>0.63</v>
          </cell>
          <cell r="C105">
            <v>0.46</v>
          </cell>
          <cell r="D105">
            <v>0.8</v>
          </cell>
          <cell r="E105">
            <v>0.61</v>
          </cell>
          <cell r="F105">
            <v>0.46</v>
          </cell>
          <cell r="G105">
            <v>0.76</v>
          </cell>
          <cell r="H105">
            <v>0.21</v>
          </cell>
          <cell r="I105">
            <v>0.21</v>
          </cell>
          <cell r="J105">
            <v>0.21</v>
          </cell>
          <cell r="K105">
            <v>2008</v>
          </cell>
          <cell r="L105" t="str">
            <v>18-40</v>
          </cell>
          <cell r="M105" t="str">
            <v>ARQ</v>
          </cell>
          <cell r="N105" t="str">
            <v>HHS</v>
          </cell>
          <cell r="O105" t="str">
            <v/>
          </cell>
        </row>
        <row r="106">
          <cell r="A106" t="str">
            <v>Italy</v>
          </cell>
          <cell r="B106">
            <v>0.55</v>
          </cell>
          <cell r="C106">
            <v>0.53</v>
          </cell>
          <cell r="D106">
            <v>0.57</v>
          </cell>
          <cell r="E106" t="str">
            <v/>
          </cell>
          <cell r="F106" t="str">
            <v/>
          </cell>
          <cell r="G106" t="str">
            <v/>
          </cell>
          <cell r="K106">
            <v>2009</v>
          </cell>
          <cell r="L106" t="str">
            <v>15-64</v>
          </cell>
          <cell r="M106" t="str">
            <v>EMCDDA</v>
          </cell>
          <cell r="N106" t="str">
            <v>I</v>
          </cell>
          <cell r="O106" t="str">
            <v/>
          </cell>
        </row>
        <row r="107">
          <cell r="A107" t="str">
            <v>Jamaica</v>
          </cell>
          <cell r="B107">
            <v>1</v>
          </cell>
          <cell r="C107">
            <v>0.5</v>
          </cell>
          <cell r="D107">
            <v>1.5</v>
          </cell>
          <cell r="E107">
            <v>0.7</v>
          </cell>
          <cell r="F107">
            <v>0.3</v>
          </cell>
          <cell r="G107">
            <v>1.1</v>
          </cell>
          <cell r="K107">
            <v>2006</v>
          </cell>
          <cell r="L107" t="str">
            <v>15-64</v>
          </cell>
          <cell r="M107" t="str">
            <v>UNODC Estimate</v>
          </cell>
          <cell r="N107" t="str">
            <v>SS</v>
          </cell>
          <cell r="O107" t="str">
            <v>d,e</v>
          </cell>
        </row>
        <row r="108">
          <cell r="A108" t="str">
            <v>Japan</v>
          </cell>
          <cell r="B108" t="str">
            <v/>
          </cell>
          <cell r="C108" t="str">
            <v/>
          </cell>
          <cell r="D108" t="str">
            <v/>
          </cell>
          <cell r="E108" t="str">
            <v/>
          </cell>
          <cell r="F108" t="str">
            <v/>
          </cell>
          <cell r="G108" t="str">
            <v/>
          </cell>
          <cell r="K108" t="str">
            <v/>
          </cell>
          <cell r="L108" t="str">
            <v/>
          </cell>
          <cell r="M108" t="str">
            <v/>
          </cell>
          <cell r="N108" t="str">
            <v/>
          </cell>
          <cell r="O108" t="str">
            <v/>
          </cell>
        </row>
        <row r="109">
          <cell r="A109" t="str">
            <v>Jordan</v>
          </cell>
          <cell r="B109" t="str">
            <v/>
          </cell>
          <cell r="C109" t="str">
            <v/>
          </cell>
          <cell r="D109" t="str">
            <v/>
          </cell>
          <cell r="E109" t="str">
            <v/>
          </cell>
          <cell r="F109" t="str">
            <v/>
          </cell>
          <cell r="G109" t="str">
            <v/>
          </cell>
          <cell r="K109" t="str">
            <v/>
          </cell>
          <cell r="L109" t="str">
            <v/>
          </cell>
          <cell r="M109" t="str">
            <v/>
          </cell>
          <cell r="N109" t="str">
            <v/>
          </cell>
          <cell r="O109" t="str">
            <v/>
          </cell>
        </row>
        <row r="110">
          <cell r="A110" t="str">
            <v>Kazakhstan</v>
          </cell>
          <cell r="B110">
            <v>1</v>
          </cell>
          <cell r="C110">
            <v>1</v>
          </cell>
          <cell r="D110">
            <v>1</v>
          </cell>
          <cell r="E110">
            <v>0.89</v>
          </cell>
          <cell r="F110">
            <v>0.89</v>
          </cell>
          <cell r="G110">
            <v>0.89</v>
          </cell>
          <cell r="H110">
            <v>0.11</v>
          </cell>
          <cell r="I110">
            <v>0.11</v>
          </cell>
          <cell r="J110">
            <v>0.11</v>
          </cell>
          <cell r="K110">
            <v>2006</v>
          </cell>
          <cell r="L110" t="str">
            <v>15-64</v>
          </cell>
          <cell r="M110" t="str">
            <v>UNODC (GAP survey)</v>
          </cell>
          <cell r="N110" t="str">
            <v/>
          </cell>
          <cell r="O110" t="str">
            <v>i</v>
          </cell>
        </row>
        <row r="111">
          <cell r="A111" t="str">
            <v>Kenya</v>
          </cell>
          <cell r="B111">
            <v>0.73</v>
          </cell>
          <cell r="C111">
            <v>0.16</v>
          </cell>
          <cell r="D111">
            <v>1.3</v>
          </cell>
          <cell r="E111">
            <v>0.73</v>
          </cell>
          <cell r="F111">
            <v>0.16</v>
          </cell>
          <cell r="G111">
            <v>1.3</v>
          </cell>
          <cell r="K111">
            <v>2004</v>
          </cell>
          <cell r="L111" t="str">
            <v>15-64</v>
          </cell>
          <cell r="M111" t="str">
            <v>Reference Group to the UN on HIV and IDU</v>
          </cell>
          <cell r="N111" t="str">
            <v>I</v>
          </cell>
          <cell r="O111" t="str">
            <v>c, i</v>
          </cell>
        </row>
        <row r="112">
          <cell r="A112" t="str">
            <v>Kiribati</v>
          </cell>
          <cell r="B112" t="str">
            <v/>
          </cell>
          <cell r="C112" t="str">
            <v/>
          </cell>
          <cell r="D112" t="str">
            <v/>
          </cell>
          <cell r="E112" t="str">
            <v/>
          </cell>
          <cell r="F112" t="str">
            <v/>
          </cell>
          <cell r="G112" t="str">
            <v/>
          </cell>
          <cell r="K112" t="str">
            <v/>
          </cell>
          <cell r="L112" t="str">
            <v/>
          </cell>
          <cell r="M112" t="str">
            <v/>
          </cell>
          <cell r="N112" t="str">
            <v/>
          </cell>
          <cell r="O112" t="str">
            <v/>
          </cell>
        </row>
        <row r="113">
          <cell r="A113" t="str">
            <v>Korea (Dem. People's Rep.)</v>
          </cell>
          <cell r="B113" t="str">
            <v/>
          </cell>
          <cell r="C113" t="str">
            <v/>
          </cell>
          <cell r="D113" t="str">
            <v/>
          </cell>
          <cell r="E113" t="str">
            <v/>
          </cell>
          <cell r="F113" t="str">
            <v/>
          </cell>
          <cell r="G113" t="str">
            <v/>
          </cell>
          <cell r="K113" t="str">
            <v/>
          </cell>
          <cell r="L113" t="str">
            <v/>
          </cell>
          <cell r="M113" t="str">
            <v/>
          </cell>
          <cell r="N113" t="str">
            <v/>
          </cell>
          <cell r="O113" t="str">
            <v/>
          </cell>
        </row>
        <row r="114">
          <cell r="A114" t="str">
            <v>Korea (Republic of)</v>
          </cell>
          <cell r="B114">
            <v>0.08</v>
          </cell>
          <cell r="C114">
            <v>0.06</v>
          </cell>
          <cell r="D114">
            <v>0.1</v>
          </cell>
          <cell r="E114" t="str">
            <v/>
          </cell>
          <cell r="F114" t="str">
            <v/>
          </cell>
          <cell r="G114" t="str">
            <v/>
          </cell>
          <cell r="H114">
            <v>0.08</v>
          </cell>
          <cell r="I114">
            <v>0.06</v>
          </cell>
          <cell r="J114">
            <v>0.1</v>
          </cell>
          <cell r="K114">
            <v>2004</v>
          </cell>
          <cell r="L114" t="str">
            <v>15-64</v>
          </cell>
          <cell r="M114" t="str">
            <v>ARQ</v>
          </cell>
          <cell r="N114" t="str">
            <v>HHS</v>
          </cell>
          <cell r="O114" t="str">
            <v>a,e</v>
          </cell>
        </row>
        <row r="115">
          <cell r="A115" t="str">
            <v>Kuwait</v>
          </cell>
          <cell r="B115">
            <v>0.17</v>
          </cell>
          <cell r="C115">
            <v>0.17</v>
          </cell>
          <cell r="D115">
            <v>0.17</v>
          </cell>
          <cell r="E115">
            <v>0.17</v>
          </cell>
          <cell r="F115">
            <v>0.17</v>
          </cell>
          <cell r="G115">
            <v>0.17</v>
          </cell>
          <cell r="K115">
            <v>2004</v>
          </cell>
          <cell r="L115" t="str">
            <v>15-64</v>
          </cell>
          <cell r="M115" t="str">
            <v>UNODC Estimate</v>
          </cell>
          <cell r="N115" t="str">
            <v/>
          </cell>
          <cell r="O115" t="str">
            <v/>
          </cell>
        </row>
        <row r="116">
          <cell r="A116" t="str">
            <v>Kyrgyzstan</v>
          </cell>
          <cell r="B116">
            <v>0.8</v>
          </cell>
          <cell r="C116">
            <v>0.8</v>
          </cell>
          <cell r="D116">
            <v>0.8</v>
          </cell>
          <cell r="E116">
            <v>0.74</v>
          </cell>
          <cell r="F116">
            <v>0.74</v>
          </cell>
          <cell r="G116">
            <v>0.74</v>
          </cell>
          <cell r="H116">
            <v>0.05920000000000001</v>
          </cell>
          <cell r="I116">
            <v>0.05920000000000001</v>
          </cell>
          <cell r="J116">
            <v>0.05920000000000001</v>
          </cell>
          <cell r="K116">
            <v>2006</v>
          </cell>
          <cell r="L116" t="str">
            <v>15-64</v>
          </cell>
          <cell r="M116" t="str">
            <v>UNODC (GAP survey)</v>
          </cell>
          <cell r="N116" t="str">
            <v/>
          </cell>
          <cell r="O116" t="str">
            <v>i</v>
          </cell>
        </row>
        <row r="117">
          <cell r="A117" t="str">
            <v>Lao People's Democratic Republic</v>
          </cell>
          <cell r="B117">
            <v>0.37</v>
          </cell>
          <cell r="C117">
            <v>0.37</v>
          </cell>
          <cell r="D117">
            <v>0.37</v>
          </cell>
          <cell r="E117">
            <v>0.37</v>
          </cell>
          <cell r="F117">
            <v>0.37</v>
          </cell>
          <cell r="G117">
            <v>0.37</v>
          </cell>
          <cell r="K117">
            <v>2008</v>
          </cell>
          <cell r="L117" t="str">
            <v>15-64</v>
          </cell>
          <cell r="M117" t="str">
            <v>UNODC (ICMP)</v>
          </cell>
          <cell r="N117" t="str">
            <v>HHS</v>
          </cell>
          <cell r="O117" t="str">
            <v>a, c</v>
          </cell>
        </row>
        <row r="118">
          <cell r="A118" t="str">
            <v>Latvia</v>
          </cell>
          <cell r="B118">
            <v>0.8</v>
          </cell>
          <cell r="C118">
            <v>0.7</v>
          </cell>
          <cell r="D118">
            <v>0.8</v>
          </cell>
          <cell r="E118">
            <v>0.1</v>
          </cell>
          <cell r="F118">
            <v>0.1</v>
          </cell>
          <cell r="G118">
            <v>0.1</v>
          </cell>
          <cell r="K118">
            <v>2007</v>
          </cell>
          <cell r="L118" t="str">
            <v>15-64</v>
          </cell>
          <cell r="M118" t="str">
            <v>ARQ</v>
          </cell>
          <cell r="N118" t="str">
            <v>HHS</v>
          </cell>
          <cell r="O118" t="str">
            <v/>
          </cell>
        </row>
        <row r="119">
          <cell r="A119" t="str">
            <v>Lebanon</v>
          </cell>
          <cell r="B119">
            <v>0.2</v>
          </cell>
          <cell r="C119">
            <v>0.2</v>
          </cell>
          <cell r="D119">
            <v>0.2</v>
          </cell>
          <cell r="E119">
            <v>0.2</v>
          </cell>
          <cell r="F119">
            <v>0.2</v>
          </cell>
          <cell r="G119">
            <v>0.2</v>
          </cell>
          <cell r="K119">
            <v>2003</v>
          </cell>
          <cell r="L119" t="str">
            <v>15-64</v>
          </cell>
          <cell r="M119" t="str">
            <v>ARQ</v>
          </cell>
          <cell r="N119" t="str">
            <v/>
          </cell>
          <cell r="O119" t="str">
            <v/>
          </cell>
        </row>
        <row r="120">
          <cell r="A120" t="str">
            <v>Lesotho</v>
          </cell>
          <cell r="B120" t="str">
            <v/>
          </cell>
          <cell r="C120" t="str">
            <v/>
          </cell>
          <cell r="D120" t="str">
            <v/>
          </cell>
          <cell r="E120" t="str">
            <v/>
          </cell>
          <cell r="F120" t="str">
            <v/>
          </cell>
          <cell r="G120" t="str">
            <v/>
          </cell>
          <cell r="K120" t="str">
            <v/>
          </cell>
          <cell r="L120" t="str">
            <v/>
          </cell>
          <cell r="M120" t="str">
            <v/>
          </cell>
          <cell r="N120" t="str">
            <v/>
          </cell>
          <cell r="O120" t="str">
            <v/>
          </cell>
        </row>
        <row r="121">
          <cell r="A121" t="str">
            <v>Liberia</v>
          </cell>
          <cell r="B121">
            <v>0.17</v>
          </cell>
          <cell r="C121">
            <v>0.17</v>
          </cell>
          <cell r="D121">
            <v>0.17</v>
          </cell>
          <cell r="E121">
            <v>0.17</v>
          </cell>
          <cell r="F121">
            <v>0.17</v>
          </cell>
          <cell r="G121">
            <v>0.17</v>
          </cell>
          <cell r="K121">
            <v>2004</v>
          </cell>
          <cell r="L121" t="str">
            <v>15-64</v>
          </cell>
          <cell r="M121" t="str">
            <v>Cure Research estimate</v>
          </cell>
          <cell r="N121" t="str">
            <v/>
          </cell>
          <cell r="O121" t="str">
            <v/>
          </cell>
        </row>
        <row r="122">
          <cell r="A122" t="str">
            <v>Libyan Arab Jamahiriya</v>
          </cell>
          <cell r="B122">
            <v>0.14</v>
          </cell>
          <cell r="C122">
            <v>0.14</v>
          </cell>
          <cell r="D122">
            <v>0.14</v>
          </cell>
          <cell r="E122">
            <v>0.14</v>
          </cell>
          <cell r="F122">
            <v>0.14</v>
          </cell>
          <cell r="G122">
            <v>0.14</v>
          </cell>
          <cell r="K122">
            <v>2004</v>
          </cell>
          <cell r="L122" t="str">
            <v>15-64</v>
          </cell>
          <cell r="M122" t="str">
            <v>UNODC Estimate</v>
          </cell>
          <cell r="N122" t="str">
            <v/>
          </cell>
          <cell r="O122" t="str">
            <v/>
          </cell>
        </row>
        <row r="123">
          <cell r="A123" t="str">
            <v>Liechtenstein</v>
          </cell>
          <cell r="B123">
            <v>0.2</v>
          </cell>
          <cell r="C123">
            <v>0.2</v>
          </cell>
          <cell r="D123">
            <v>0.2</v>
          </cell>
          <cell r="E123">
            <v>0.2</v>
          </cell>
          <cell r="F123">
            <v>0.2</v>
          </cell>
          <cell r="G123">
            <v>0.2</v>
          </cell>
          <cell r="K123">
            <v>2005</v>
          </cell>
          <cell r="L123" t="str">
            <v>15-64</v>
          </cell>
          <cell r="M123" t="str">
            <v>ARQ</v>
          </cell>
          <cell r="N123" t="str">
            <v>SS</v>
          </cell>
          <cell r="O123" t="str">
            <v/>
          </cell>
        </row>
        <row r="124">
          <cell r="A124" t="str">
            <v>Lithuania</v>
          </cell>
          <cell r="B124">
            <v>0.24</v>
          </cell>
          <cell r="C124">
            <v>0.23</v>
          </cell>
          <cell r="D124">
            <v>0.24</v>
          </cell>
          <cell r="E124" t="str">
            <v/>
          </cell>
          <cell r="F124" t="str">
            <v/>
          </cell>
          <cell r="G124" t="str">
            <v/>
          </cell>
          <cell r="K124">
            <v>2007</v>
          </cell>
          <cell r="L124" t="str">
            <v>15-64</v>
          </cell>
          <cell r="M124" t="str">
            <v>EMCDDA</v>
          </cell>
          <cell r="N124" t="str">
            <v>I</v>
          </cell>
          <cell r="O124" t="str">
            <v/>
          </cell>
        </row>
        <row r="125">
          <cell r="A125" t="str">
            <v>Luxembourg</v>
          </cell>
          <cell r="B125">
            <v>0.59</v>
          </cell>
          <cell r="C125">
            <v>0.5</v>
          </cell>
          <cell r="D125">
            <v>0.76</v>
          </cell>
          <cell r="E125" t="str">
            <v/>
          </cell>
          <cell r="F125" t="str">
            <v/>
          </cell>
          <cell r="G125" t="str">
            <v/>
          </cell>
          <cell r="K125">
            <v>2007</v>
          </cell>
          <cell r="L125" t="str">
            <v>15-64</v>
          </cell>
          <cell r="M125" t="str">
            <v>EMCDDA</v>
          </cell>
          <cell r="N125" t="str">
            <v>I</v>
          </cell>
          <cell r="O125" t="str">
            <v/>
          </cell>
        </row>
        <row r="126">
          <cell r="A126" t="str">
            <v>Macedonia (TFYR)</v>
          </cell>
          <cell r="B126">
            <v>0.5</v>
          </cell>
          <cell r="C126">
            <v>0.5</v>
          </cell>
          <cell r="D126">
            <v>0.5</v>
          </cell>
          <cell r="E126">
            <v>0.4</v>
          </cell>
          <cell r="F126">
            <v>0.4</v>
          </cell>
          <cell r="G126">
            <v>0.5</v>
          </cell>
          <cell r="K126">
            <v>2005</v>
          </cell>
          <cell r="L126" t="str">
            <v>15-64</v>
          </cell>
          <cell r="M126" t="str">
            <v>ARQ</v>
          </cell>
          <cell r="N126" t="str">
            <v/>
          </cell>
          <cell r="O126" t="str">
            <v/>
          </cell>
        </row>
        <row r="127">
          <cell r="A127" t="str">
            <v>Madagascar</v>
          </cell>
          <cell r="B127" t="str">
            <v/>
          </cell>
          <cell r="C127" t="str">
            <v/>
          </cell>
          <cell r="D127" t="str">
            <v/>
          </cell>
          <cell r="E127" t="str">
            <v/>
          </cell>
          <cell r="F127" t="str">
            <v/>
          </cell>
          <cell r="G127" t="str">
            <v/>
          </cell>
          <cell r="K127" t="str">
            <v/>
          </cell>
          <cell r="L127" t="str">
            <v/>
          </cell>
          <cell r="M127" t="str">
            <v/>
          </cell>
          <cell r="N127" t="str">
            <v/>
          </cell>
          <cell r="O127" t="str">
            <v/>
          </cell>
        </row>
        <row r="128">
          <cell r="A128" t="str">
            <v>Malawi</v>
          </cell>
          <cell r="B128" t="str">
            <v/>
          </cell>
          <cell r="C128" t="str">
            <v/>
          </cell>
          <cell r="D128" t="str">
            <v/>
          </cell>
          <cell r="E128" t="str">
            <v/>
          </cell>
          <cell r="F128" t="str">
            <v/>
          </cell>
          <cell r="G128" t="str">
            <v/>
          </cell>
          <cell r="K128" t="str">
            <v/>
          </cell>
          <cell r="L128" t="str">
            <v/>
          </cell>
          <cell r="M128" t="str">
            <v/>
          </cell>
          <cell r="N128" t="str">
            <v/>
          </cell>
          <cell r="O128" t="str">
            <v/>
          </cell>
        </row>
        <row r="129">
          <cell r="A129" t="str">
            <v>Malaysia</v>
          </cell>
          <cell r="B129">
            <v>0.94</v>
          </cell>
          <cell r="C129">
            <v>0.94</v>
          </cell>
          <cell r="D129">
            <v>0.94</v>
          </cell>
          <cell r="E129">
            <v>0.94</v>
          </cell>
          <cell r="F129">
            <v>0.94</v>
          </cell>
          <cell r="G129">
            <v>0.94</v>
          </cell>
          <cell r="K129">
            <v>2009</v>
          </cell>
          <cell r="L129" t="str">
            <v>15-64</v>
          </cell>
          <cell r="M129" t="str">
            <v>SMART</v>
          </cell>
          <cell r="N129" t="str">
            <v>I</v>
          </cell>
          <cell r="O129" t="str">
            <v/>
          </cell>
        </row>
        <row r="130">
          <cell r="A130" t="str">
            <v>Maldives</v>
          </cell>
          <cell r="B130" t="str">
            <v/>
          </cell>
          <cell r="C130" t="str">
            <v/>
          </cell>
          <cell r="D130" t="str">
            <v/>
          </cell>
          <cell r="E130" t="str">
            <v/>
          </cell>
          <cell r="F130" t="str">
            <v/>
          </cell>
          <cell r="G130" t="str">
            <v/>
          </cell>
          <cell r="K130" t="str">
            <v/>
          </cell>
          <cell r="L130" t="str">
            <v/>
          </cell>
          <cell r="M130" t="str">
            <v/>
          </cell>
          <cell r="N130" t="str">
            <v/>
          </cell>
          <cell r="O130" t="str">
            <v/>
          </cell>
        </row>
        <row r="131">
          <cell r="A131" t="str">
            <v>Mali</v>
          </cell>
          <cell r="B131" t="str">
            <v/>
          </cell>
          <cell r="C131" t="str">
            <v/>
          </cell>
          <cell r="D131" t="str">
            <v/>
          </cell>
          <cell r="E131" t="str">
            <v/>
          </cell>
          <cell r="F131" t="str">
            <v/>
          </cell>
          <cell r="G131" t="str">
            <v/>
          </cell>
          <cell r="K131" t="str">
            <v/>
          </cell>
          <cell r="L131" t="str">
            <v/>
          </cell>
          <cell r="M131" t="str">
            <v/>
          </cell>
          <cell r="N131" t="str">
            <v/>
          </cell>
          <cell r="O131" t="str">
            <v/>
          </cell>
        </row>
        <row r="132">
          <cell r="A132" t="str">
            <v>Malta</v>
          </cell>
          <cell r="B132">
            <v>0.54</v>
          </cell>
          <cell r="C132">
            <v>0.51</v>
          </cell>
          <cell r="D132">
            <v>0.56</v>
          </cell>
          <cell r="E132" t="str">
            <v/>
          </cell>
          <cell r="F132" t="str">
            <v/>
          </cell>
          <cell r="G132" t="str">
            <v/>
          </cell>
          <cell r="K132">
            <v>2006</v>
          </cell>
          <cell r="L132" t="str">
            <v>15-64</v>
          </cell>
          <cell r="M132" t="str">
            <v>EMCDDA</v>
          </cell>
          <cell r="N132" t="str">
            <v>I</v>
          </cell>
          <cell r="O132" t="str">
            <v/>
          </cell>
        </row>
        <row r="133">
          <cell r="A133" t="str">
            <v>Marshall Islands</v>
          </cell>
          <cell r="B133" t="str">
            <v/>
          </cell>
          <cell r="C133" t="str">
            <v/>
          </cell>
          <cell r="D133" t="str">
            <v/>
          </cell>
          <cell r="E133" t="str">
            <v/>
          </cell>
          <cell r="F133" t="str">
            <v/>
          </cell>
          <cell r="G133" t="str">
            <v/>
          </cell>
          <cell r="K133" t="str">
            <v/>
          </cell>
          <cell r="L133" t="str">
            <v/>
          </cell>
          <cell r="M133" t="str">
            <v/>
          </cell>
          <cell r="N133" t="str">
            <v/>
          </cell>
          <cell r="O133" t="str">
            <v/>
          </cell>
        </row>
        <row r="134">
          <cell r="A134" t="str">
            <v>Martinique</v>
          </cell>
          <cell r="B134" t="str">
            <v/>
          </cell>
          <cell r="C134" t="str">
            <v/>
          </cell>
          <cell r="D134" t="str">
            <v/>
          </cell>
          <cell r="E134" t="str">
            <v/>
          </cell>
          <cell r="F134" t="str">
            <v/>
          </cell>
          <cell r="G134" t="str">
            <v/>
          </cell>
          <cell r="K134" t="str">
            <v/>
          </cell>
          <cell r="L134" t="str">
            <v/>
          </cell>
          <cell r="M134" t="str">
            <v/>
          </cell>
          <cell r="N134" t="str">
            <v/>
          </cell>
          <cell r="O134" t="str">
            <v/>
          </cell>
        </row>
        <row r="135">
          <cell r="A135" t="str">
            <v>Mauritania</v>
          </cell>
          <cell r="B135" t="str">
            <v/>
          </cell>
          <cell r="C135" t="str">
            <v/>
          </cell>
          <cell r="D135" t="str">
            <v/>
          </cell>
          <cell r="E135" t="str">
            <v/>
          </cell>
          <cell r="F135" t="str">
            <v/>
          </cell>
          <cell r="G135" t="str">
            <v/>
          </cell>
          <cell r="K135" t="str">
            <v/>
          </cell>
          <cell r="L135" t="str">
            <v/>
          </cell>
          <cell r="M135" t="str">
            <v/>
          </cell>
          <cell r="N135" t="str">
            <v/>
          </cell>
          <cell r="O135" t="str">
            <v/>
          </cell>
        </row>
        <row r="136">
          <cell r="A136" t="str">
            <v>Mauritius</v>
          </cell>
          <cell r="B136">
            <v>1.29</v>
          </cell>
          <cell r="C136">
            <v>1.29</v>
          </cell>
          <cell r="D136">
            <v>1.29</v>
          </cell>
          <cell r="K136">
            <v>2009</v>
          </cell>
          <cell r="L136" t="str">
            <v>15-64</v>
          </cell>
          <cell r="M136" t="str">
            <v>Government source</v>
          </cell>
          <cell r="N136" t="str">
            <v>I</v>
          </cell>
          <cell r="O136" t="str">
            <v/>
          </cell>
        </row>
        <row r="137">
          <cell r="A137" t="str">
            <v>Mexico</v>
          </cell>
          <cell r="B137">
            <v>1.12</v>
          </cell>
          <cell r="C137">
            <v>1.1</v>
          </cell>
          <cell r="D137">
            <v>1.14</v>
          </cell>
          <cell r="E137">
            <v>0.04</v>
          </cell>
          <cell r="F137">
            <v>0.04</v>
          </cell>
          <cell r="G137">
            <v>0.04</v>
          </cell>
          <cell r="H137">
            <v>1.1</v>
          </cell>
          <cell r="I137">
            <v>1.1</v>
          </cell>
          <cell r="J137">
            <v>1.1</v>
          </cell>
          <cell r="K137">
            <v>2011</v>
          </cell>
          <cell r="L137" t="str">
            <v>15-64</v>
          </cell>
          <cell r="M137" t="str">
            <v>Government source</v>
          </cell>
          <cell r="N137" t="str">
            <v>HHS</v>
          </cell>
          <cell r="O137" t="str">
            <v/>
          </cell>
        </row>
        <row r="138">
          <cell r="A138" t="str">
            <v>Micronesia (Federated States of)</v>
          </cell>
          <cell r="B138" t="str">
            <v/>
          </cell>
          <cell r="C138" t="str">
            <v/>
          </cell>
          <cell r="D138" t="str">
            <v/>
          </cell>
          <cell r="E138" t="str">
            <v/>
          </cell>
          <cell r="F138" t="str">
            <v/>
          </cell>
          <cell r="G138" t="str">
            <v/>
          </cell>
          <cell r="K138" t="str">
            <v/>
          </cell>
          <cell r="L138" t="str">
            <v/>
          </cell>
          <cell r="M138" t="str">
            <v/>
          </cell>
          <cell r="N138" t="str">
            <v/>
          </cell>
          <cell r="O138" t="str">
            <v/>
          </cell>
        </row>
        <row r="139">
          <cell r="A139" t="str">
            <v>Moldova (Republic of)</v>
          </cell>
          <cell r="B139">
            <v>0.15</v>
          </cell>
          <cell r="C139">
            <v>0.12</v>
          </cell>
          <cell r="D139">
            <v>0.17</v>
          </cell>
          <cell r="E139" t="str">
            <v/>
          </cell>
          <cell r="F139" t="str">
            <v/>
          </cell>
          <cell r="G139" t="str">
            <v/>
          </cell>
          <cell r="K139">
            <v>2008</v>
          </cell>
          <cell r="L139" t="str">
            <v>15-64</v>
          </cell>
          <cell r="M139" t="str">
            <v>Government source</v>
          </cell>
          <cell r="N139" t="str">
            <v>R, HHS</v>
          </cell>
          <cell r="O139" t="str">
            <v>e</v>
          </cell>
        </row>
        <row r="140">
          <cell r="A140" t="str">
            <v>Monaco</v>
          </cell>
          <cell r="B140" t="str">
            <v/>
          </cell>
          <cell r="C140" t="str">
            <v/>
          </cell>
          <cell r="D140" t="str">
            <v/>
          </cell>
          <cell r="E140" t="str">
            <v/>
          </cell>
          <cell r="F140" t="str">
            <v/>
          </cell>
          <cell r="G140" t="str">
            <v/>
          </cell>
          <cell r="K140" t="str">
            <v/>
          </cell>
          <cell r="L140" t="str">
            <v/>
          </cell>
          <cell r="M140" t="str">
            <v/>
          </cell>
          <cell r="N140" t="str">
            <v/>
          </cell>
          <cell r="O140" t="str">
            <v/>
          </cell>
        </row>
        <row r="141">
          <cell r="A141" t="str">
            <v>Mongolia</v>
          </cell>
          <cell r="B141" t="str">
            <v/>
          </cell>
          <cell r="C141" t="str">
            <v/>
          </cell>
          <cell r="D141" t="str">
            <v/>
          </cell>
          <cell r="E141" t="str">
            <v/>
          </cell>
          <cell r="F141" t="str">
            <v/>
          </cell>
          <cell r="G141" t="str">
            <v/>
          </cell>
          <cell r="K141" t="str">
            <v/>
          </cell>
          <cell r="L141" t="str">
            <v/>
          </cell>
          <cell r="M141" t="str">
            <v/>
          </cell>
          <cell r="N141" t="str">
            <v/>
          </cell>
          <cell r="O141" t="str">
            <v/>
          </cell>
        </row>
        <row r="142">
          <cell r="A142" t="str">
            <v>Montenegro</v>
          </cell>
          <cell r="B142" t="str">
            <v/>
          </cell>
          <cell r="C142" t="str">
            <v/>
          </cell>
          <cell r="D142" t="str">
            <v/>
          </cell>
          <cell r="E142" t="str">
            <v/>
          </cell>
          <cell r="F142" t="str">
            <v/>
          </cell>
          <cell r="G142" t="str">
            <v/>
          </cell>
          <cell r="K142" t="str">
            <v/>
          </cell>
          <cell r="L142" t="str">
            <v/>
          </cell>
          <cell r="M142" t="str">
            <v/>
          </cell>
          <cell r="N142" t="str">
            <v/>
          </cell>
          <cell r="O142" t="str">
            <v/>
          </cell>
        </row>
        <row r="143">
          <cell r="A143" t="str">
            <v>Montserrat</v>
          </cell>
          <cell r="B143" t="str">
            <v/>
          </cell>
          <cell r="C143" t="str">
            <v/>
          </cell>
          <cell r="D143" t="str">
            <v/>
          </cell>
          <cell r="E143" t="str">
            <v/>
          </cell>
          <cell r="F143" t="str">
            <v/>
          </cell>
          <cell r="G143" t="str">
            <v/>
          </cell>
          <cell r="K143" t="str">
            <v/>
          </cell>
          <cell r="L143" t="str">
            <v/>
          </cell>
          <cell r="M143" t="str">
            <v/>
          </cell>
          <cell r="N143" t="str">
            <v/>
          </cell>
          <cell r="O143" t="str">
            <v/>
          </cell>
        </row>
        <row r="144">
          <cell r="A144" t="str">
            <v>Morocco</v>
          </cell>
          <cell r="B144">
            <v>0.02</v>
          </cell>
          <cell r="C144">
            <v>0.02</v>
          </cell>
          <cell r="D144">
            <v>0.02</v>
          </cell>
          <cell r="E144">
            <v>0.02</v>
          </cell>
          <cell r="F144">
            <v>0.02</v>
          </cell>
          <cell r="G144">
            <v>0.02</v>
          </cell>
          <cell r="K144">
            <v>2003</v>
          </cell>
          <cell r="L144" t="str">
            <v>15-64</v>
          </cell>
          <cell r="M144" t="str">
            <v>ARQ</v>
          </cell>
          <cell r="N144" t="str">
            <v/>
          </cell>
          <cell r="O144" t="str">
            <v/>
          </cell>
        </row>
        <row r="145">
          <cell r="A145" t="str">
            <v>Mozambique</v>
          </cell>
          <cell r="B145" t="str">
            <v/>
          </cell>
          <cell r="C145" t="str">
            <v/>
          </cell>
          <cell r="D145" t="str">
            <v/>
          </cell>
          <cell r="E145" t="str">
            <v/>
          </cell>
          <cell r="F145" t="str">
            <v/>
          </cell>
          <cell r="G145" t="str">
            <v/>
          </cell>
          <cell r="K145" t="str">
            <v/>
          </cell>
          <cell r="L145" t="str">
            <v/>
          </cell>
          <cell r="M145" t="str">
            <v/>
          </cell>
          <cell r="N145" t="str">
            <v/>
          </cell>
          <cell r="O145" t="str">
            <v/>
          </cell>
        </row>
        <row r="146">
          <cell r="A146" t="str">
            <v>Myanmar</v>
          </cell>
          <cell r="B146">
            <v>0.8</v>
          </cell>
          <cell r="C146">
            <v>0.7</v>
          </cell>
          <cell r="D146">
            <v>0.9</v>
          </cell>
          <cell r="E146">
            <v>0.8</v>
          </cell>
          <cell r="F146">
            <v>0.7</v>
          </cell>
          <cell r="G146">
            <v>0.9</v>
          </cell>
          <cell r="K146">
            <v>2010</v>
          </cell>
          <cell r="L146" t="str">
            <v>15-64</v>
          </cell>
          <cell r="M146" t="str">
            <v>UNODC (ICMP)</v>
          </cell>
          <cell r="N146" t="str">
            <v>HHS</v>
          </cell>
          <cell r="O146" t="str">
            <v>a,c</v>
          </cell>
        </row>
        <row r="147">
          <cell r="A147" t="str">
            <v>Namibia</v>
          </cell>
          <cell r="B147" t="str">
            <v/>
          </cell>
          <cell r="C147" t="str">
            <v/>
          </cell>
          <cell r="D147" t="str">
            <v/>
          </cell>
          <cell r="E147" t="str">
            <v/>
          </cell>
          <cell r="F147" t="str">
            <v/>
          </cell>
          <cell r="G147" t="str">
            <v/>
          </cell>
          <cell r="K147" t="str">
            <v/>
          </cell>
          <cell r="L147" t="str">
            <v/>
          </cell>
          <cell r="M147" t="str">
            <v/>
          </cell>
          <cell r="N147" t="str">
            <v/>
          </cell>
          <cell r="O147" t="str">
            <v/>
          </cell>
        </row>
        <row r="148">
          <cell r="A148" t="str">
            <v>Nauru</v>
          </cell>
          <cell r="B148" t="str">
            <v/>
          </cell>
          <cell r="C148" t="str">
            <v/>
          </cell>
          <cell r="D148" t="str">
            <v/>
          </cell>
          <cell r="E148" t="str">
            <v/>
          </cell>
          <cell r="F148" t="str">
            <v/>
          </cell>
          <cell r="G148" t="str">
            <v/>
          </cell>
          <cell r="K148" t="str">
            <v/>
          </cell>
          <cell r="L148" t="str">
            <v/>
          </cell>
          <cell r="M148" t="str">
            <v/>
          </cell>
          <cell r="N148" t="str">
            <v/>
          </cell>
          <cell r="O148" t="str">
            <v/>
          </cell>
        </row>
        <row r="149">
          <cell r="A149" t="str">
            <v>Nepal</v>
          </cell>
          <cell r="B149">
            <v>0.24</v>
          </cell>
          <cell r="C149">
            <v>0.18</v>
          </cell>
          <cell r="D149">
            <v>0.29</v>
          </cell>
          <cell r="E149">
            <v>0.24</v>
          </cell>
          <cell r="F149">
            <v>0.18</v>
          </cell>
          <cell r="G149">
            <v>0.29</v>
          </cell>
          <cell r="K149">
            <v>2006</v>
          </cell>
          <cell r="L149" t="str">
            <v>15-64</v>
          </cell>
          <cell r="M149" t="str">
            <v>Government source</v>
          </cell>
          <cell r="N149" t="str">
            <v>I, b</v>
          </cell>
          <cell r="O149" t="str">
            <v/>
          </cell>
        </row>
        <row r="150">
          <cell r="A150" t="str">
            <v>Netherlands</v>
          </cell>
          <cell r="B150">
            <v>0.16</v>
          </cell>
          <cell r="C150">
            <v>0.16</v>
          </cell>
          <cell r="D150">
            <v>0.16</v>
          </cell>
          <cell r="E150" t="str">
            <v/>
          </cell>
          <cell r="F150" t="str">
            <v/>
          </cell>
          <cell r="G150" t="str">
            <v/>
          </cell>
          <cell r="K150">
            <v>2008</v>
          </cell>
          <cell r="L150" t="str">
            <v>15-64</v>
          </cell>
          <cell r="M150" t="str">
            <v>EMCDDA</v>
          </cell>
          <cell r="N150" t="str">
            <v>I</v>
          </cell>
          <cell r="O150" t="str">
            <v/>
          </cell>
        </row>
        <row r="151">
          <cell r="A151" t="str">
            <v>Netherlands Antilles</v>
          </cell>
          <cell r="B151" t="str">
            <v/>
          </cell>
          <cell r="C151" t="str">
            <v/>
          </cell>
          <cell r="D151" t="str">
            <v/>
          </cell>
          <cell r="E151" t="str">
            <v/>
          </cell>
          <cell r="F151" t="str">
            <v/>
          </cell>
          <cell r="G151" t="str">
            <v/>
          </cell>
          <cell r="K151" t="str">
            <v/>
          </cell>
          <cell r="L151" t="str">
            <v/>
          </cell>
          <cell r="M151" t="str">
            <v/>
          </cell>
          <cell r="N151" t="str">
            <v/>
          </cell>
          <cell r="O151" t="str">
            <v/>
          </cell>
        </row>
        <row r="152">
          <cell r="A152" t="str">
            <v>New Caledonia</v>
          </cell>
          <cell r="B152" t="str">
            <v/>
          </cell>
          <cell r="C152" t="str">
            <v/>
          </cell>
          <cell r="D152" t="str">
            <v/>
          </cell>
          <cell r="E152" t="str">
            <v/>
          </cell>
          <cell r="F152" t="str">
            <v/>
          </cell>
          <cell r="G152" t="str">
            <v/>
          </cell>
          <cell r="K152" t="str">
            <v/>
          </cell>
          <cell r="L152" t="str">
            <v/>
          </cell>
          <cell r="M152" t="str">
            <v/>
          </cell>
          <cell r="N152" t="str">
            <v/>
          </cell>
          <cell r="O152" t="str">
            <v/>
          </cell>
        </row>
        <row r="153">
          <cell r="A153" t="str">
            <v>New Zealand</v>
          </cell>
          <cell r="B153">
            <v>1.1</v>
          </cell>
          <cell r="C153">
            <v>0.7</v>
          </cell>
          <cell r="D153">
            <v>1.5</v>
          </cell>
          <cell r="E153">
            <v>0.1</v>
          </cell>
          <cell r="F153">
            <v>0.1</v>
          </cell>
          <cell r="G153">
            <v>0.3</v>
          </cell>
          <cell r="H153">
            <v>1</v>
          </cell>
          <cell r="I153">
            <v>0.7</v>
          </cell>
          <cell r="J153">
            <v>1.3</v>
          </cell>
          <cell r="K153">
            <v>2008</v>
          </cell>
          <cell r="L153" t="str">
            <v>16-64</v>
          </cell>
          <cell r="M153" t="str">
            <v>Government source</v>
          </cell>
          <cell r="N153" t="str">
            <v>HHS, x</v>
          </cell>
          <cell r="O153" t="str">
            <v/>
          </cell>
        </row>
        <row r="154">
          <cell r="A154" t="str">
            <v>Nicaragua</v>
          </cell>
          <cell r="B154">
            <v>0.02</v>
          </cell>
          <cell r="C154">
            <v>0.02</v>
          </cell>
          <cell r="D154">
            <v>0.02</v>
          </cell>
          <cell r="E154">
            <v>0.02</v>
          </cell>
          <cell r="F154">
            <v>0.02</v>
          </cell>
          <cell r="G154">
            <v>0.02</v>
          </cell>
          <cell r="K154">
            <v>2006</v>
          </cell>
          <cell r="L154" t="str">
            <v>12-65</v>
          </cell>
          <cell r="M154" t="str">
            <v>CICAD/MEM</v>
          </cell>
          <cell r="N154" t="str">
            <v>HHS</v>
          </cell>
          <cell r="O154" t="str">
            <v/>
          </cell>
        </row>
        <row r="155">
          <cell r="A155" t="str">
            <v>Niger</v>
          </cell>
          <cell r="B155">
            <v>0.2</v>
          </cell>
          <cell r="C155">
            <v>0.2</v>
          </cell>
          <cell r="D155">
            <v>0.2</v>
          </cell>
          <cell r="E155">
            <v>0.2</v>
          </cell>
          <cell r="F155">
            <v>0.2</v>
          </cell>
          <cell r="G155">
            <v>0.2</v>
          </cell>
          <cell r="K155">
            <v>2004</v>
          </cell>
          <cell r="L155" t="str">
            <v>15-64</v>
          </cell>
          <cell r="M155" t="str">
            <v>Reference Group to the UN on HIV and IDU</v>
          </cell>
          <cell r="N155" t="str">
            <v>I</v>
          </cell>
          <cell r="O155" t="str">
            <v/>
          </cell>
        </row>
        <row r="156">
          <cell r="A156" t="str">
            <v>Nigeria</v>
          </cell>
          <cell r="B156">
            <v>0.7</v>
          </cell>
          <cell r="C156">
            <v>0.3</v>
          </cell>
          <cell r="D156">
            <v>1</v>
          </cell>
          <cell r="E156">
            <v>0.7</v>
          </cell>
          <cell r="F156">
            <v>0.3</v>
          </cell>
          <cell r="G156">
            <v>1</v>
          </cell>
          <cell r="K156">
            <v>2008</v>
          </cell>
          <cell r="L156" t="str">
            <v>15-64</v>
          </cell>
          <cell r="M156" t="str">
            <v>UNODC Estimate</v>
          </cell>
          <cell r="N156" t="str">
            <v/>
          </cell>
          <cell r="O156" t="str">
            <v/>
          </cell>
        </row>
        <row r="157">
          <cell r="A157" t="str">
            <v>Norfolk Island</v>
          </cell>
          <cell r="B157" t="str">
            <v/>
          </cell>
          <cell r="C157" t="str">
            <v/>
          </cell>
          <cell r="D157" t="str">
            <v/>
          </cell>
          <cell r="E157" t="str">
            <v/>
          </cell>
          <cell r="F157" t="str">
            <v/>
          </cell>
          <cell r="G157" t="str">
            <v/>
          </cell>
          <cell r="K157" t="str">
            <v/>
          </cell>
          <cell r="L157" t="str">
            <v/>
          </cell>
          <cell r="M157" t="str">
            <v/>
          </cell>
          <cell r="N157" t="str">
            <v/>
          </cell>
          <cell r="O157" t="str">
            <v/>
          </cell>
        </row>
        <row r="158">
          <cell r="A158" t="str">
            <v>Northern Mariana Islands</v>
          </cell>
          <cell r="B158" t="str">
            <v/>
          </cell>
          <cell r="C158" t="str">
            <v/>
          </cell>
          <cell r="D158" t="str">
            <v/>
          </cell>
          <cell r="E158" t="str">
            <v/>
          </cell>
          <cell r="F158" t="str">
            <v/>
          </cell>
          <cell r="G158" t="str">
            <v/>
          </cell>
          <cell r="K158" t="str">
            <v/>
          </cell>
          <cell r="L158" t="str">
            <v/>
          </cell>
          <cell r="M158" t="str">
            <v/>
          </cell>
          <cell r="N158" t="str">
            <v/>
          </cell>
          <cell r="O158" t="str">
            <v/>
          </cell>
        </row>
        <row r="159">
          <cell r="A159" t="str">
            <v>Norway</v>
          </cell>
          <cell r="B159">
            <v>0.3</v>
          </cell>
          <cell r="C159">
            <v>0.21</v>
          </cell>
          <cell r="D159">
            <v>0.39</v>
          </cell>
          <cell r="E159" t="str">
            <v/>
          </cell>
          <cell r="F159" t="str">
            <v/>
          </cell>
          <cell r="G159" t="str">
            <v/>
          </cell>
          <cell r="K159">
            <v>2008</v>
          </cell>
          <cell r="L159" t="str">
            <v>15-64</v>
          </cell>
          <cell r="M159" t="str">
            <v>Government source</v>
          </cell>
          <cell r="N159" t="str">
            <v>I</v>
          </cell>
          <cell r="O159" t="str">
            <v/>
          </cell>
        </row>
        <row r="160">
          <cell r="A160" t="str">
            <v>Occupied Palestinian Territory</v>
          </cell>
          <cell r="B160" t="str">
            <v/>
          </cell>
          <cell r="C160" t="str">
            <v/>
          </cell>
          <cell r="D160" t="str">
            <v/>
          </cell>
          <cell r="E160" t="str">
            <v/>
          </cell>
          <cell r="F160" t="str">
            <v/>
          </cell>
          <cell r="G160" t="str">
            <v/>
          </cell>
          <cell r="K160" t="str">
            <v/>
          </cell>
          <cell r="L160" t="str">
            <v/>
          </cell>
          <cell r="M160" t="str">
            <v/>
          </cell>
          <cell r="N160" t="str">
            <v/>
          </cell>
          <cell r="O160" t="str">
            <v/>
          </cell>
        </row>
        <row r="161">
          <cell r="A161" t="str">
            <v>Oman</v>
          </cell>
          <cell r="B161" t="str">
            <v/>
          </cell>
          <cell r="C161" t="str">
            <v/>
          </cell>
          <cell r="D161" t="str">
            <v/>
          </cell>
          <cell r="E161" t="str">
            <v/>
          </cell>
          <cell r="F161" t="str">
            <v/>
          </cell>
          <cell r="G161" t="str">
            <v/>
          </cell>
          <cell r="K161" t="str">
            <v/>
          </cell>
          <cell r="L161" t="str">
            <v/>
          </cell>
          <cell r="M161" t="str">
            <v/>
          </cell>
          <cell r="N161" t="str">
            <v/>
          </cell>
          <cell r="O161" t="str">
            <v/>
          </cell>
        </row>
        <row r="162">
          <cell r="A162" t="str">
            <v>Pakistan</v>
          </cell>
          <cell r="B162">
            <v>0.7</v>
          </cell>
          <cell r="C162">
            <v>0.7</v>
          </cell>
          <cell r="D162">
            <v>0.7</v>
          </cell>
          <cell r="E162">
            <v>0.57</v>
          </cell>
          <cell r="F162">
            <v>0.57</v>
          </cell>
          <cell r="G162">
            <v>0.57</v>
          </cell>
          <cell r="H162">
            <v>0.12599999999999997</v>
          </cell>
          <cell r="I162">
            <v>0.12599999999999997</v>
          </cell>
          <cell r="J162">
            <v>0.12599999999999997</v>
          </cell>
          <cell r="K162">
            <v>2006</v>
          </cell>
          <cell r="L162" t="str">
            <v>15-64</v>
          </cell>
          <cell r="M162" t="str">
            <v>UNODC (GAP survey)</v>
          </cell>
          <cell r="N162" t="str">
            <v/>
          </cell>
          <cell r="O162" t="str">
            <v/>
          </cell>
        </row>
        <row r="163">
          <cell r="A163" t="str">
            <v>Palau</v>
          </cell>
          <cell r="B163" t="str">
            <v/>
          </cell>
          <cell r="C163" t="str">
            <v/>
          </cell>
          <cell r="D163" t="str">
            <v/>
          </cell>
          <cell r="E163" t="str">
            <v/>
          </cell>
          <cell r="F163" t="str">
            <v/>
          </cell>
          <cell r="G163" t="str">
            <v/>
          </cell>
          <cell r="K163" t="str">
            <v/>
          </cell>
          <cell r="L163" t="str">
            <v/>
          </cell>
          <cell r="M163" t="str">
            <v/>
          </cell>
          <cell r="N163" t="str">
            <v/>
          </cell>
          <cell r="O163" t="str">
            <v/>
          </cell>
        </row>
        <row r="164">
          <cell r="A164" t="str">
            <v>Panama</v>
          </cell>
          <cell r="B164" t="str">
            <v/>
          </cell>
          <cell r="C164" t="str">
            <v/>
          </cell>
          <cell r="D164" t="str">
            <v/>
          </cell>
          <cell r="E164" t="str">
            <v/>
          </cell>
          <cell r="F164" t="str">
            <v/>
          </cell>
          <cell r="G164" t="str">
            <v/>
          </cell>
          <cell r="K164" t="str">
            <v/>
          </cell>
          <cell r="L164" t="str">
            <v/>
          </cell>
          <cell r="M164" t="str">
            <v/>
          </cell>
          <cell r="N164" t="str">
            <v/>
          </cell>
          <cell r="O164" t="str">
            <v/>
          </cell>
        </row>
        <row r="165">
          <cell r="A165" t="str">
            <v>Papua New Guinea</v>
          </cell>
          <cell r="B165" t="str">
            <v/>
          </cell>
          <cell r="C165" t="str">
            <v/>
          </cell>
          <cell r="D165" t="str">
            <v/>
          </cell>
          <cell r="E165" t="str">
            <v/>
          </cell>
          <cell r="F165" t="str">
            <v/>
          </cell>
          <cell r="G165" t="str">
            <v/>
          </cell>
          <cell r="K165" t="str">
            <v/>
          </cell>
          <cell r="L165" t="str">
            <v/>
          </cell>
          <cell r="M165" t="str">
            <v/>
          </cell>
          <cell r="N165" t="str">
            <v/>
          </cell>
          <cell r="O165" t="str">
            <v/>
          </cell>
        </row>
        <row r="166">
          <cell r="A166" t="str">
            <v>Paraguay</v>
          </cell>
          <cell r="B166">
            <v>0.03</v>
          </cell>
          <cell r="C166">
            <v>0.03</v>
          </cell>
          <cell r="D166">
            <v>0.03</v>
          </cell>
          <cell r="E166">
            <v>0.03</v>
          </cell>
          <cell r="F166">
            <v>0.03</v>
          </cell>
          <cell r="G166">
            <v>0.03</v>
          </cell>
          <cell r="K166">
            <v>2003</v>
          </cell>
          <cell r="L166" t="str">
            <v>12-65</v>
          </cell>
          <cell r="M166" t="str">
            <v>ARQ</v>
          </cell>
          <cell r="N166" t="str">
            <v>HHS</v>
          </cell>
          <cell r="O166" t="str">
            <v>e</v>
          </cell>
        </row>
        <row r="167">
          <cell r="A167" t="str">
            <v>Peru</v>
          </cell>
          <cell r="B167">
            <v>0.18</v>
          </cell>
          <cell r="C167">
            <v>0.18</v>
          </cell>
          <cell r="D167">
            <v>0.18</v>
          </cell>
          <cell r="E167">
            <v>0.18</v>
          </cell>
          <cell r="F167">
            <v>0.18</v>
          </cell>
          <cell r="G167">
            <v>0.18</v>
          </cell>
          <cell r="K167">
            <v>2005</v>
          </cell>
          <cell r="L167" t="str">
            <v>12-64</v>
          </cell>
          <cell r="M167" t="str">
            <v>UNODC Estimate</v>
          </cell>
          <cell r="N167" t="str">
            <v/>
          </cell>
          <cell r="O167" t="str">
            <v/>
          </cell>
        </row>
        <row r="168">
          <cell r="A168" t="str">
            <v>Philippines</v>
          </cell>
          <cell r="B168">
            <v>0.05</v>
          </cell>
          <cell r="C168">
            <v>0.05</v>
          </cell>
          <cell r="D168">
            <v>0.05</v>
          </cell>
          <cell r="E168" t="str">
            <v/>
          </cell>
          <cell r="F168" t="str">
            <v/>
          </cell>
          <cell r="G168" t="str">
            <v/>
          </cell>
          <cell r="H168">
            <v>0.05</v>
          </cell>
          <cell r="I168">
            <v>0.05</v>
          </cell>
          <cell r="J168">
            <v>0.05</v>
          </cell>
          <cell r="K168">
            <v>2005</v>
          </cell>
          <cell r="L168" t="str">
            <v>15-64</v>
          </cell>
          <cell r="M168" t="str">
            <v>Reference Group to the UN on HIV and IDU</v>
          </cell>
          <cell r="N168" t="str">
            <v/>
          </cell>
          <cell r="O168" t="str">
            <v/>
          </cell>
        </row>
        <row r="169">
          <cell r="A169" t="str">
            <v>Pitcairn</v>
          </cell>
          <cell r="B169" t="str">
            <v/>
          </cell>
          <cell r="C169" t="str">
            <v/>
          </cell>
          <cell r="D169" t="str">
            <v/>
          </cell>
          <cell r="E169" t="str">
            <v/>
          </cell>
          <cell r="F169" t="str">
            <v/>
          </cell>
          <cell r="G169" t="str">
            <v/>
          </cell>
          <cell r="K169" t="str">
            <v/>
          </cell>
          <cell r="L169" t="str">
            <v/>
          </cell>
          <cell r="M169" t="str">
            <v/>
          </cell>
          <cell r="N169" t="str">
            <v/>
          </cell>
          <cell r="O169" t="str">
            <v/>
          </cell>
        </row>
        <row r="170">
          <cell r="A170" t="str">
            <v>Poland</v>
          </cell>
          <cell r="B170">
            <v>0.1</v>
          </cell>
          <cell r="C170">
            <v>0.1</v>
          </cell>
          <cell r="D170">
            <v>0.1</v>
          </cell>
          <cell r="E170">
            <v>0.1</v>
          </cell>
          <cell r="F170">
            <v>0.1</v>
          </cell>
          <cell r="G170">
            <v>0.1</v>
          </cell>
          <cell r="K170">
            <v>2010</v>
          </cell>
          <cell r="L170" t="str">
            <v>15-75</v>
          </cell>
          <cell r="M170" t="str">
            <v>ARQ</v>
          </cell>
          <cell r="N170" t="str">
            <v>HHS</v>
          </cell>
          <cell r="O170" t="str">
            <v/>
          </cell>
        </row>
        <row r="171">
          <cell r="A171" t="str">
            <v>Portugal</v>
          </cell>
          <cell r="B171">
            <v>0.3833990452244361</v>
          </cell>
          <cell r="C171">
            <v>0.3833990452244361</v>
          </cell>
          <cell r="D171">
            <v>0.3833990452244361</v>
          </cell>
          <cell r="E171" t="str">
            <v/>
          </cell>
          <cell r="F171" t="str">
            <v/>
          </cell>
          <cell r="G171" t="str">
            <v/>
          </cell>
          <cell r="K171">
            <v>2007</v>
          </cell>
          <cell r="L171" t="str">
            <v>15-64</v>
          </cell>
          <cell r="M171" t="str">
            <v>ARQ</v>
          </cell>
          <cell r="N171" t="str">
            <v>I</v>
          </cell>
          <cell r="O171" t="str">
            <v/>
          </cell>
        </row>
        <row r="172">
          <cell r="A172" t="str">
            <v>Puerto Rico</v>
          </cell>
          <cell r="B172">
            <v>1.15</v>
          </cell>
          <cell r="C172">
            <v>1.15</v>
          </cell>
          <cell r="D172">
            <v>1.15</v>
          </cell>
          <cell r="E172">
            <v>1.15</v>
          </cell>
          <cell r="F172">
            <v>1.15</v>
          </cell>
          <cell r="G172">
            <v>1.15</v>
          </cell>
          <cell r="K172">
            <v>2002</v>
          </cell>
          <cell r="L172" t="str">
            <v>15-64</v>
          </cell>
          <cell r="M172" t="str">
            <v>Reference Group to the UN on HIV and IDU</v>
          </cell>
          <cell r="N172" t="str">
            <v>I</v>
          </cell>
          <cell r="O172" t="str">
            <v/>
          </cell>
        </row>
        <row r="173">
          <cell r="A173" t="str">
            <v>Qatar</v>
          </cell>
          <cell r="B173" t="str">
            <v/>
          </cell>
          <cell r="C173" t="str">
            <v/>
          </cell>
          <cell r="D173" t="str">
            <v/>
          </cell>
          <cell r="E173" t="str">
            <v/>
          </cell>
          <cell r="F173" t="str">
            <v/>
          </cell>
          <cell r="G173" t="str">
            <v/>
          </cell>
          <cell r="K173" t="str">
            <v/>
          </cell>
          <cell r="L173" t="str">
            <v/>
          </cell>
          <cell r="M173" t="str">
            <v/>
          </cell>
          <cell r="N173" t="str">
            <v/>
          </cell>
          <cell r="O173" t="str">
            <v/>
          </cell>
        </row>
        <row r="174">
          <cell r="A174" t="str">
            <v>Réunion</v>
          </cell>
          <cell r="B174" t="str">
            <v/>
          </cell>
          <cell r="C174" t="str">
            <v/>
          </cell>
          <cell r="D174" t="str">
            <v/>
          </cell>
          <cell r="E174" t="str">
            <v/>
          </cell>
          <cell r="F174" t="str">
            <v/>
          </cell>
          <cell r="G174" t="str">
            <v/>
          </cell>
          <cell r="K174" t="str">
            <v/>
          </cell>
          <cell r="L174" t="str">
            <v/>
          </cell>
          <cell r="M174" t="str">
            <v/>
          </cell>
          <cell r="N174" t="str">
            <v/>
          </cell>
          <cell r="O174" t="str">
            <v/>
          </cell>
        </row>
        <row r="175">
          <cell r="A175" t="str">
            <v>Romania</v>
          </cell>
          <cell r="B175">
            <v>0.11264296037099993</v>
          </cell>
          <cell r="C175">
            <v>0.11371557299009102</v>
          </cell>
          <cell r="D175">
            <v>0.11371557299009102</v>
          </cell>
          <cell r="E175">
            <v>0.10660834967821034</v>
          </cell>
          <cell r="F175">
            <v>0.10660834967821034</v>
          </cell>
          <cell r="G175">
            <v>0.10660834967821034</v>
          </cell>
          <cell r="K175">
            <v>2010</v>
          </cell>
          <cell r="L175" t="str">
            <v>15-64 </v>
          </cell>
          <cell r="M175" t="str">
            <v>ARQ</v>
          </cell>
          <cell r="N175" t="str">
            <v>I</v>
          </cell>
          <cell r="O175" t="str">
            <v/>
          </cell>
        </row>
        <row r="176">
          <cell r="A176" t="str">
            <v>Russian Federation</v>
          </cell>
          <cell r="B176">
            <v>2.288852103258811</v>
          </cell>
          <cell r="C176">
            <v>2.29</v>
          </cell>
          <cell r="D176">
            <v>2.29</v>
          </cell>
          <cell r="E176">
            <v>1.4026048744596022</v>
          </cell>
          <cell r="F176">
            <v>1.4</v>
          </cell>
          <cell r="G176">
            <v>1.4</v>
          </cell>
          <cell r="K176">
            <v>2007</v>
          </cell>
          <cell r="L176" t="str">
            <v>15-64</v>
          </cell>
          <cell r="M176" t="str">
            <v>Government source</v>
          </cell>
          <cell r="N176" t="str">
            <v>R, I</v>
          </cell>
          <cell r="O176" t="str">
            <v/>
          </cell>
        </row>
        <row r="177">
          <cell r="A177" t="str">
            <v>Rwanda</v>
          </cell>
          <cell r="B177">
            <v>0.14</v>
          </cell>
          <cell r="C177">
            <v>0.14</v>
          </cell>
          <cell r="D177">
            <v>0.14</v>
          </cell>
          <cell r="E177">
            <v>0.14</v>
          </cell>
          <cell r="F177">
            <v>0.14</v>
          </cell>
          <cell r="G177">
            <v>0.14</v>
          </cell>
          <cell r="K177">
            <v>2004</v>
          </cell>
          <cell r="L177" t="str">
            <v>15-64</v>
          </cell>
          <cell r="M177" t="str">
            <v>Cure Research estimate</v>
          </cell>
          <cell r="N177" t="str">
            <v/>
          </cell>
          <cell r="O177" t="str">
            <v/>
          </cell>
        </row>
        <row r="178">
          <cell r="A178" t="str">
            <v>Saint Helena</v>
          </cell>
          <cell r="B178" t="str">
            <v/>
          </cell>
          <cell r="C178" t="str">
            <v/>
          </cell>
          <cell r="D178" t="str">
            <v/>
          </cell>
          <cell r="E178" t="str">
            <v/>
          </cell>
          <cell r="F178" t="str">
            <v/>
          </cell>
          <cell r="G178" t="str">
            <v/>
          </cell>
          <cell r="K178" t="str">
            <v/>
          </cell>
          <cell r="L178" t="str">
            <v/>
          </cell>
          <cell r="M178" t="str">
            <v/>
          </cell>
          <cell r="N178" t="str">
            <v/>
          </cell>
          <cell r="O178" t="str">
            <v/>
          </cell>
        </row>
        <row r="179">
          <cell r="A179" t="str">
            <v>Saint Kitts and Nevis</v>
          </cell>
          <cell r="B179" t="str">
            <v/>
          </cell>
          <cell r="C179" t="str">
            <v/>
          </cell>
          <cell r="D179" t="str">
            <v/>
          </cell>
          <cell r="E179" t="str">
            <v/>
          </cell>
          <cell r="F179" t="str">
            <v/>
          </cell>
          <cell r="G179" t="str">
            <v/>
          </cell>
          <cell r="K179" t="str">
            <v/>
          </cell>
          <cell r="L179" t="str">
            <v/>
          </cell>
          <cell r="M179" t="str">
            <v/>
          </cell>
          <cell r="N179" t="str">
            <v/>
          </cell>
          <cell r="O179" t="str">
            <v/>
          </cell>
        </row>
        <row r="180">
          <cell r="A180" t="str">
            <v>Saint Lucia</v>
          </cell>
          <cell r="B180" t="str">
            <v/>
          </cell>
          <cell r="C180" t="str">
            <v/>
          </cell>
          <cell r="D180" t="str">
            <v/>
          </cell>
          <cell r="E180" t="str">
            <v/>
          </cell>
          <cell r="F180" t="str">
            <v/>
          </cell>
          <cell r="G180" t="str">
            <v/>
          </cell>
          <cell r="K180" t="str">
            <v/>
          </cell>
          <cell r="L180" t="str">
            <v/>
          </cell>
          <cell r="M180" t="str">
            <v/>
          </cell>
          <cell r="N180" t="str">
            <v/>
          </cell>
          <cell r="O180" t="str">
            <v/>
          </cell>
        </row>
        <row r="181">
          <cell r="A181" t="str">
            <v>Saint Pierre and Miquelon</v>
          </cell>
          <cell r="B181" t="str">
            <v/>
          </cell>
          <cell r="C181" t="str">
            <v/>
          </cell>
          <cell r="D181" t="str">
            <v/>
          </cell>
          <cell r="E181" t="str">
            <v/>
          </cell>
          <cell r="F181" t="str">
            <v/>
          </cell>
          <cell r="G181" t="str">
            <v/>
          </cell>
          <cell r="K181" t="str">
            <v/>
          </cell>
          <cell r="L181" t="str">
            <v/>
          </cell>
          <cell r="M181" t="str">
            <v/>
          </cell>
          <cell r="N181" t="str">
            <v/>
          </cell>
          <cell r="O181" t="str">
            <v/>
          </cell>
        </row>
        <row r="182">
          <cell r="A182" t="str">
            <v>Saint Vincent and the Grenadines</v>
          </cell>
          <cell r="B182" t="str">
            <v/>
          </cell>
          <cell r="C182" t="str">
            <v/>
          </cell>
          <cell r="D182" t="str">
            <v/>
          </cell>
          <cell r="E182" t="str">
            <v/>
          </cell>
          <cell r="F182" t="str">
            <v/>
          </cell>
          <cell r="G182" t="str">
            <v/>
          </cell>
          <cell r="K182" t="str">
            <v/>
          </cell>
          <cell r="L182" t="str">
            <v/>
          </cell>
          <cell r="M182" t="str">
            <v/>
          </cell>
          <cell r="N182" t="str">
            <v/>
          </cell>
          <cell r="O182" t="str">
            <v/>
          </cell>
        </row>
        <row r="183">
          <cell r="A183" t="str">
            <v>Samoa</v>
          </cell>
          <cell r="B183" t="str">
            <v/>
          </cell>
          <cell r="C183" t="str">
            <v/>
          </cell>
          <cell r="D183" t="str">
            <v/>
          </cell>
          <cell r="E183" t="str">
            <v/>
          </cell>
          <cell r="F183" t="str">
            <v/>
          </cell>
          <cell r="G183" t="str">
            <v/>
          </cell>
          <cell r="K183" t="str">
            <v/>
          </cell>
          <cell r="L183" t="str">
            <v/>
          </cell>
          <cell r="M183" t="str">
            <v/>
          </cell>
          <cell r="N183" t="str">
            <v/>
          </cell>
          <cell r="O183" t="str">
            <v/>
          </cell>
        </row>
        <row r="184">
          <cell r="A184" t="str">
            <v>San Marino</v>
          </cell>
          <cell r="B184" t="str">
            <v/>
          </cell>
          <cell r="C184" t="str">
            <v/>
          </cell>
          <cell r="D184" t="str">
            <v/>
          </cell>
          <cell r="E184" t="str">
            <v/>
          </cell>
          <cell r="F184" t="str">
            <v/>
          </cell>
          <cell r="G184" t="str">
            <v/>
          </cell>
          <cell r="K184" t="str">
            <v/>
          </cell>
          <cell r="L184" t="str">
            <v/>
          </cell>
          <cell r="M184" t="str">
            <v/>
          </cell>
          <cell r="N184" t="str">
            <v/>
          </cell>
          <cell r="O184" t="str">
            <v/>
          </cell>
        </row>
        <row r="185">
          <cell r="A185" t="str">
            <v>Sao Tome and Principe</v>
          </cell>
          <cell r="B185" t="str">
            <v/>
          </cell>
          <cell r="C185" t="str">
            <v/>
          </cell>
          <cell r="D185" t="str">
            <v/>
          </cell>
          <cell r="E185" t="str">
            <v/>
          </cell>
          <cell r="F185" t="str">
            <v/>
          </cell>
          <cell r="G185" t="str">
            <v/>
          </cell>
          <cell r="K185" t="str">
            <v/>
          </cell>
          <cell r="L185" t="str">
            <v/>
          </cell>
          <cell r="M185" t="str">
            <v/>
          </cell>
          <cell r="N185" t="str">
            <v/>
          </cell>
          <cell r="O185" t="str">
            <v/>
          </cell>
        </row>
        <row r="186">
          <cell r="A186" t="str">
            <v>Saudi Arabia</v>
          </cell>
          <cell r="B186">
            <v>0.06</v>
          </cell>
          <cell r="C186">
            <v>0.06</v>
          </cell>
          <cell r="D186">
            <v>0.06</v>
          </cell>
          <cell r="E186">
            <v>0.06</v>
          </cell>
          <cell r="F186">
            <v>0.06</v>
          </cell>
          <cell r="G186">
            <v>0.06</v>
          </cell>
          <cell r="K186">
            <v>2006</v>
          </cell>
          <cell r="L186" t="str">
            <v>15-64</v>
          </cell>
          <cell r="M186" t="str">
            <v>UNODC Estimate</v>
          </cell>
          <cell r="N186" t="str">
            <v/>
          </cell>
          <cell r="O186" t="str">
            <v/>
          </cell>
        </row>
        <row r="187">
          <cell r="A187" t="str">
            <v>Senegal</v>
          </cell>
          <cell r="B187">
            <v>0.08</v>
          </cell>
          <cell r="C187">
            <v>0.08</v>
          </cell>
          <cell r="D187">
            <v>0.08</v>
          </cell>
          <cell r="E187">
            <v>0.08</v>
          </cell>
          <cell r="F187">
            <v>0.08</v>
          </cell>
          <cell r="G187">
            <v>0.08</v>
          </cell>
          <cell r="K187">
            <v>2006</v>
          </cell>
          <cell r="L187" t="str">
            <v>15-64</v>
          </cell>
          <cell r="M187" t="str">
            <v>UNODC Estimate</v>
          </cell>
          <cell r="N187" t="str">
            <v>SS</v>
          </cell>
          <cell r="O187" t="str">
            <v>a, d, e </v>
          </cell>
        </row>
        <row r="188">
          <cell r="A188" t="str">
            <v>Serbia</v>
          </cell>
          <cell r="B188">
            <v>0.28</v>
          </cell>
          <cell r="C188">
            <v>0.18</v>
          </cell>
          <cell r="D188">
            <v>0.38</v>
          </cell>
          <cell r="E188">
            <v>0.28</v>
          </cell>
          <cell r="F188">
            <v>0.18</v>
          </cell>
          <cell r="G188">
            <v>0.38</v>
          </cell>
          <cell r="K188">
            <v>2008</v>
          </cell>
          <cell r="L188" t="str">
            <v>15-64</v>
          </cell>
          <cell r="M188" t="str">
            <v>ARQ</v>
          </cell>
          <cell r="N188" t="str">
            <v>I</v>
          </cell>
          <cell r="O188" t="str">
            <v/>
          </cell>
        </row>
        <row r="189">
          <cell r="A189" t="str">
            <v>Seychelles</v>
          </cell>
          <cell r="B189" t="str">
            <v/>
          </cell>
          <cell r="C189" t="str">
            <v/>
          </cell>
          <cell r="D189" t="str">
            <v/>
          </cell>
          <cell r="E189" t="str">
            <v/>
          </cell>
          <cell r="F189" t="str">
            <v/>
          </cell>
          <cell r="G189" t="str">
            <v/>
          </cell>
          <cell r="K189" t="str">
            <v/>
          </cell>
          <cell r="L189" t="str">
            <v/>
          </cell>
          <cell r="M189" t="str">
            <v/>
          </cell>
          <cell r="N189" t="str">
            <v/>
          </cell>
          <cell r="O189" t="str">
            <v/>
          </cell>
        </row>
        <row r="190">
          <cell r="A190" t="str">
            <v>Sierra Leone</v>
          </cell>
          <cell r="B190">
            <v>0.17</v>
          </cell>
          <cell r="C190">
            <v>0.17</v>
          </cell>
          <cell r="D190">
            <v>0.17</v>
          </cell>
          <cell r="E190">
            <v>0.17</v>
          </cell>
          <cell r="F190">
            <v>0.17</v>
          </cell>
          <cell r="G190">
            <v>0.17</v>
          </cell>
          <cell r="K190">
            <v>2004</v>
          </cell>
          <cell r="L190" t="str">
            <v>15-64</v>
          </cell>
          <cell r="M190" t="str">
            <v>Cure Research estimate</v>
          </cell>
          <cell r="N190" t="str">
            <v/>
          </cell>
          <cell r="O190" t="str">
            <v/>
          </cell>
        </row>
        <row r="191">
          <cell r="A191" t="str">
            <v>Singapore</v>
          </cell>
          <cell r="B191">
            <v>0.3304429828888883</v>
          </cell>
          <cell r="C191">
            <v>0.2823025104054604</v>
          </cell>
          <cell r="D191">
            <v>0.3785834553723162</v>
          </cell>
          <cell r="E191">
            <v>0.3190483972720301</v>
          </cell>
          <cell r="F191">
            <v>0.2725679410811342</v>
          </cell>
          <cell r="G191">
            <v>0.365528853462926</v>
          </cell>
          <cell r="K191">
            <v>2010</v>
          </cell>
          <cell r="L191" t="str">
            <v>15-64</v>
          </cell>
          <cell r="M191" t="str">
            <v>UNODC Estimate</v>
          </cell>
          <cell r="N191" t="str">
            <v>I</v>
          </cell>
          <cell r="O191" t="str">
            <v/>
          </cell>
        </row>
        <row r="192">
          <cell r="A192" t="str">
            <v>Slovakia</v>
          </cell>
          <cell r="B192">
            <v>0.13</v>
          </cell>
          <cell r="C192">
            <v>0.1</v>
          </cell>
          <cell r="D192">
            <v>0.25</v>
          </cell>
          <cell r="E192" t="str">
            <v/>
          </cell>
          <cell r="F192" t="str">
            <v/>
          </cell>
          <cell r="G192" t="str">
            <v/>
          </cell>
          <cell r="K192">
            <v>2008</v>
          </cell>
          <cell r="L192" t="str">
            <v>15-64</v>
          </cell>
          <cell r="M192" t="str">
            <v>EMCDDA</v>
          </cell>
          <cell r="N192" t="str">
            <v>I</v>
          </cell>
          <cell r="O192" t="str">
            <v/>
          </cell>
        </row>
        <row r="193">
          <cell r="A193" t="str">
            <v>Slovenia</v>
          </cell>
          <cell r="B193">
            <v>0.7538892092796161</v>
          </cell>
          <cell r="C193">
            <v>0.7537169408741815</v>
          </cell>
          <cell r="D193">
            <v>0.7537169408741815</v>
          </cell>
          <cell r="E193" t="str">
            <v/>
          </cell>
          <cell r="F193" t="str">
            <v/>
          </cell>
          <cell r="G193" t="str">
            <v/>
          </cell>
          <cell r="K193">
            <v>2004</v>
          </cell>
          <cell r="L193" t="str">
            <v>15-64</v>
          </cell>
          <cell r="M193" t="str">
            <v>ARQ</v>
          </cell>
          <cell r="N193" t="str">
            <v>I</v>
          </cell>
          <cell r="O193" t="str">
            <v/>
          </cell>
        </row>
        <row r="194">
          <cell r="A194" t="str">
            <v>Solomon Islands</v>
          </cell>
          <cell r="B194" t="str">
            <v/>
          </cell>
          <cell r="C194" t="str">
            <v/>
          </cell>
          <cell r="D194" t="str">
            <v/>
          </cell>
          <cell r="E194" t="str">
            <v/>
          </cell>
          <cell r="F194" t="str">
            <v/>
          </cell>
          <cell r="G194" t="str">
            <v/>
          </cell>
          <cell r="K194" t="str">
            <v/>
          </cell>
          <cell r="L194" t="str">
            <v/>
          </cell>
          <cell r="M194" t="str">
            <v/>
          </cell>
          <cell r="N194" t="str">
            <v/>
          </cell>
          <cell r="O194" t="str">
            <v/>
          </cell>
        </row>
        <row r="195">
          <cell r="A195" t="str">
            <v>Somalia</v>
          </cell>
          <cell r="B195">
            <v>0.16</v>
          </cell>
          <cell r="C195">
            <v>0.16</v>
          </cell>
          <cell r="D195">
            <v>0.16</v>
          </cell>
          <cell r="E195">
            <v>0.16</v>
          </cell>
          <cell r="F195">
            <v>0.16</v>
          </cell>
          <cell r="G195">
            <v>0.16</v>
          </cell>
          <cell r="K195">
            <v>2004</v>
          </cell>
          <cell r="L195" t="str">
            <v>15-64</v>
          </cell>
          <cell r="M195" t="str">
            <v>Cure Research estimate</v>
          </cell>
          <cell r="N195" t="str">
            <v/>
          </cell>
          <cell r="O195" t="str">
            <v/>
          </cell>
        </row>
        <row r="196">
          <cell r="A196" t="str">
            <v>South Africa</v>
          </cell>
          <cell r="B196">
            <v>0.5</v>
          </cell>
          <cell r="C196">
            <v>0.5</v>
          </cell>
          <cell r="D196">
            <v>0.5</v>
          </cell>
          <cell r="E196">
            <v>0.41</v>
          </cell>
          <cell r="F196">
            <v>0.41</v>
          </cell>
          <cell r="G196">
            <v>0.41</v>
          </cell>
          <cell r="H196">
            <v>0.09</v>
          </cell>
          <cell r="I196">
            <v>0.09</v>
          </cell>
          <cell r="J196">
            <v>0.09</v>
          </cell>
          <cell r="K196">
            <v>2008</v>
          </cell>
          <cell r="L196" t="str">
            <v>15-64</v>
          </cell>
          <cell r="M196" t="str">
            <v>ARQ</v>
          </cell>
          <cell r="N196" t="str">
            <v/>
          </cell>
          <cell r="O196" t="str">
            <v/>
          </cell>
        </row>
        <row r="197">
          <cell r="A197" t="str">
            <v>Spain</v>
          </cell>
          <cell r="B197">
            <v>0.13</v>
          </cell>
          <cell r="C197">
            <v>0.12</v>
          </cell>
          <cell r="D197">
            <v>0.13</v>
          </cell>
          <cell r="E197" t="str">
            <v/>
          </cell>
          <cell r="F197" t="str">
            <v/>
          </cell>
          <cell r="G197" t="str">
            <v/>
          </cell>
          <cell r="K197">
            <v>2008</v>
          </cell>
          <cell r="L197" t="str">
            <v>15-64</v>
          </cell>
          <cell r="M197" t="str">
            <v>EMCDDA</v>
          </cell>
          <cell r="N197" t="str">
            <v>I</v>
          </cell>
          <cell r="O197" t="str">
            <v/>
          </cell>
        </row>
        <row r="198">
          <cell r="A198" t="str">
            <v>Sri Lanka</v>
          </cell>
          <cell r="B198">
            <v>0.32569341031760535</v>
          </cell>
          <cell r="C198">
            <v>0.32569341031760535</v>
          </cell>
          <cell r="D198">
            <v>0.32569341031760535</v>
          </cell>
          <cell r="E198">
            <v>0.32569341031760535</v>
          </cell>
          <cell r="F198">
            <v>0.33</v>
          </cell>
          <cell r="G198">
            <v>0.33</v>
          </cell>
          <cell r="K198">
            <v>2010</v>
          </cell>
          <cell r="L198" t="str">
            <v>15-64</v>
          </cell>
          <cell r="M198" t="str">
            <v>ARQ</v>
          </cell>
          <cell r="N198" t="str">
            <v/>
          </cell>
          <cell r="O198" t="str">
            <v/>
          </cell>
        </row>
        <row r="199">
          <cell r="A199" t="str">
            <v>Sudan</v>
          </cell>
          <cell r="B199" t="str">
            <v/>
          </cell>
          <cell r="C199" t="str">
            <v/>
          </cell>
          <cell r="D199" t="str">
            <v/>
          </cell>
          <cell r="E199" t="str">
            <v/>
          </cell>
          <cell r="F199" t="str">
            <v/>
          </cell>
          <cell r="G199" t="str">
            <v/>
          </cell>
          <cell r="K199" t="str">
            <v/>
          </cell>
          <cell r="L199" t="str">
            <v/>
          </cell>
          <cell r="M199" t="str">
            <v/>
          </cell>
          <cell r="N199" t="str">
            <v/>
          </cell>
          <cell r="O199" t="str">
            <v/>
          </cell>
        </row>
        <row r="200">
          <cell r="A200" t="str">
            <v>Suriname</v>
          </cell>
          <cell r="B200">
            <v>0.08</v>
          </cell>
          <cell r="C200">
            <v>0.08</v>
          </cell>
          <cell r="D200">
            <v>0.08</v>
          </cell>
          <cell r="E200">
            <v>0.08</v>
          </cell>
          <cell r="F200">
            <v>0.08</v>
          </cell>
          <cell r="G200">
            <v>0.08</v>
          </cell>
          <cell r="K200">
            <v>2002</v>
          </cell>
          <cell r="L200" t="str">
            <v>15-64</v>
          </cell>
          <cell r="M200" t="str">
            <v>UNODC Estimate</v>
          </cell>
          <cell r="N200" t="str">
            <v/>
          </cell>
          <cell r="O200" t="str">
            <v>e</v>
          </cell>
        </row>
        <row r="201">
          <cell r="A201" t="str">
            <v>Swaziland</v>
          </cell>
          <cell r="B201">
            <v>0.17</v>
          </cell>
          <cell r="C201">
            <v>0.17</v>
          </cell>
          <cell r="D201">
            <v>0.17</v>
          </cell>
          <cell r="E201">
            <v>0.17</v>
          </cell>
          <cell r="F201">
            <v>0.17</v>
          </cell>
          <cell r="G201">
            <v>0.17</v>
          </cell>
          <cell r="K201">
            <v>2004</v>
          </cell>
          <cell r="L201" t="str">
            <v>15-64</v>
          </cell>
          <cell r="M201" t="str">
            <v>Cure Research estimate</v>
          </cell>
          <cell r="N201" t="str">
            <v/>
          </cell>
          <cell r="O201" t="str">
            <v/>
          </cell>
        </row>
        <row r="202">
          <cell r="A202" t="str">
            <v>Sweden</v>
          </cell>
          <cell r="B202">
            <v>0.23</v>
          </cell>
          <cell r="C202">
            <v>0.19</v>
          </cell>
          <cell r="D202">
            <v>0.28</v>
          </cell>
          <cell r="E202" t="str">
            <v/>
          </cell>
          <cell r="F202" t="str">
            <v/>
          </cell>
          <cell r="G202" t="str">
            <v/>
          </cell>
          <cell r="K202">
            <v>2007</v>
          </cell>
          <cell r="L202" t="str">
            <v>15-64</v>
          </cell>
          <cell r="M202" t="str">
            <v>ARQ</v>
          </cell>
          <cell r="N202" t="str">
            <v>I</v>
          </cell>
          <cell r="O202" t="str">
            <v/>
          </cell>
        </row>
        <row r="203">
          <cell r="A203" t="str">
            <v>Switzerland</v>
          </cell>
          <cell r="B203">
            <v>0.2</v>
          </cell>
          <cell r="C203">
            <v>0.2</v>
          </cell>
          <cell r="D203">
            <v>0.2</v>
          </cell>
          <cell r="E203" t="str">
            <v/>
          </cell>
          <cell r="F203" t="str">
            <v/>
          </cell>
          <cell r="G203" t="str">
            <v/>
          </cell>
          <cell r="K203">
            <v>2009</v>
          </cell>
          <cell r="L203" t="str">
            <v>15-64</v>
          </cell>
          <cell r="M203" t="str">
            <v>ARQ</v>
          </cell>
          <cell r="N203" t="str">
            <v>I</v>
          </cell>
          <cell r="O203" t="str">
            <v/>
          </cell>
        </row>
        <row r="204">
          <cell r="A204" t="str">
            <v>Syrian Arab Republic</v>
          </cell>
          <cell r="B204">
            <v>0.02</v>
          </cell>
          <cell r="C204">
            <v>0.02</v>
          </cell>
          <cell r="D204">
            <v>0.02</v>
          </cell>
          <cell r="E204">
            <v>0.02</v>
          </cell>
          <cell r="F204">
            <v>0.02</v>
          </cell>
          <cell r="G204">
            <v>0.02</v>
          </cell>
          <cell r="K204">
            <v>2005</v>
          </cell>
          <cell r="L204" t="str">
            <v>15-64</v>
          </cell>
          <cell r="M204" t="str">
            <v>UNODC Estimate</v>
          </cell>
          <cell r="N204" t="str">
            <v/>
          </cell>
          <cell r="O204" t="str">
            <v/>
          </cell>
        </row>
        <row r="205">
          <cell r="A205" t="str">
            <v>Taiwan, Province of China</v>
          </cell>
          <cell r="B205">
            <v>0.2</v>
          </cell>
          <cell r="C205">
            <v>0.2</v>
          </cell>
          <cell r="D205">
            <v>0.2</v>
          </cell>
          <cell r="E205">
            <v>0.2</v>
          </cell>
          <cell r="F205">
            <v>0.2</v>
          </cell>
          <cell r="G205">
            <v>0.2</v>
          </cell>
          <cell r="K205">
            <v>2005</v>
          </cell>
          <cell r="L205" t="str">
            <v>12-64</v>
          </cell>
          <cell r="M205" t="str">
            <v>Government source</v>
          </cell>
          <cell r="N205" t="str">
            <v/>
          </cell>
          <cell r="O205" t="str">
            <v/>
          </cell>
        </row>
        <row r="206">
          <cell r="A206" t="str">
            <v>Tajikistan</v>
          </cell>
          <cell r="B206">
            <v>0.54</v>
          </cell>
          <cell r="C206">
            <v>0.54</v>
          </cell>
          <cell r="D206">
            <v>0.54</v>
          </cell>
          <cell r="E206">
            <v>0.54</v>
          </cell>
          <cell r="F206">
            <v>0.54</v>
          </cell>
          <cell r="G206">
            <v>0.54</v>
          </cell>
          <cell r="K206">
            <v>2006</v>
          </cell>
          <cell r="L206" t="str">
            <v>15-64</v>
          </cell>
          <cell r="M206" t="str">
            <v>UNODC (GAP survey)</v>
          </cell>
          <cell r="N206" t="str">
            <v/>
          </cell>
          <cell r="O206" t="str">
            <v>i</v>
          </cell>
        </row>
        <row r="207">
          <cell r="A207" t="str">
            <v>Tanzania (United Republic of)</v>
          </cell>
          <cell r="B207" t="str">
            <v/>
          </cell>
          <cell r="C207" t="str">
            <v/>
          </cell>
          <cell r="D207" t="str">
            <v/>
          </cell>
          <cell r="E207" t="str">
            <v/>
          </cell>
          <cell r="F207" t="str">
            <v/>
          </cell>
          <cell r="G207" t="str">
            <v/>
          </cell>
          <cell r="K207" t="str">
            <v/>
          </cell>
          <cell r="L207" t="str">
            <v/>
          </cell>
          <cell r="M207" t="str">
            <v/>
          </cell>
          <cell r="N207" t="str">
            <v/>
          </cell>
          <cell r="O207" t="str">
            <v/>
          </cell>
        </row>
        <row r="208">
          <cell r="A208" t="str">
            <v>Thailand</v>
          </cell>
          <cell r="B208">
            <v>0.2</v>
          </cell>
          <cell r="C208">
            <v>0.2</v>
          </cell>
          <cell r="D208">
            <v>0.2</v>
          </cell>
          <cell r="E208">
            <v>0.2</v>
          </cell>
          <cell r="F208">
            <v>0.2</v>
          </cell>
          <cell r="G208">
            <v>0.2</v>
          </cell>
          <cell r="K208">
            <v>2007</v>
          </cell>
          <cell r="L208" t="str">
            <v>15-64</v>
          </cell>
          <cell r="M208" t="str">
            <v>ARQ</v>
          </cell>
          <cell r="N208" t="str">
            <v>HHS</v>
          </cell>
          <cell r="O208" t="str">
            <v/>
          </cell>
        </row>
        <row r="209">
          <cell r="A209" t="str">
            <v>Timor-Leste</v>
          </cell>
          <cell r="B209" t="str">
            <v/>
          </cell>
          <cell r="C209" t="str">
            <v/>
          </cell>
          <cell r="D209" t="str">
            <v/>
          </cell>
          <cell r="E209" t="str">
            <v/>
          </cell>
          <cell r="F209" t="str">
            <v/>
          </cell>
          <cell r="G209" t="str">
            <v/>
          </cell>
          <cell r="K209" t="str">
            <v/>
          </cell>
          <cell r="L209" t="str">
            <v/>
          </cell>
          <cell r="M209" t="str">
            <v/>
          </cell>
          <cell r="N209" t="str">
            <v/>
          </cell>
          <cell r="O209" t="str">
            <v/>
          </cell>
        </row>
        <row r="210">
          <cell r="A210" t="str">
            <v>Togo</v>
          </cell>
          <cell r="B210" t="str">
            <v/>
          </cell>
          <cell r="C210" t="str">
            <v/>
          </cell>
          <cell r="D210" t="str">
            <v/>
          </cell>
          <cell r="E210" t="str">
            <v/>
          </cell>
          <cell r="F210" t="str">
            <v/>
          </cell>
          <cell r="G210" t="str">
            <v/>
          </cell>
          <cell r="K210" t="str">
            <v/>
          </cell>
          <cell r="L210" t="str">
            <v/>
          </cell>
          <cell r="M210" t="str">
            <v/>
          </cell>
          <cell r="N210" t="str">
            <v/>
          </cell>
          <cell r="O210" t="str">
            <v/>
          </cell>
        </row>
        <row r="211">
          <cell r="A211" t="str">
            <v>Tonga</v>
          </cell>
          <cell r="B211" t="str">
            <v/>
          </cell>
          <cell r="C211" t="str">
            <v/>
          </cell>
          <cell r="D211" t="str">
            <v/>
          </cell>
          <cell r="E211" t="str">
            <v/>
          </cell>
          <cell r="F211" t="str">
            <v/>
          </cell>
          <cell r="G211" t="str">
            <v/>
          </cell>
          <cell r="K211" t="str">
            <v/>
          </cell>
          <cell r="L211" t="str">
            <v/>
          </cell>
          <cell r="M211" t="str">
            <v/>
          </cell>
          <cell r="N211" t="str">
            <v/>
          </cell>
          <cell r="O211" t="str">
            <v/>
          </cell>
        </row>
        <row r="212">
          <cell r="A212" t="str">
            <v>Trinidad and Tobago</v>
          </cell>
          <cell r="B212">
            <v>0.09</v>
          </cell>
          <cell r="C212">
            <v>0.09</v>
          </cell>
          <cell r="D212">
            <v>0.09</v>
          </cell>
          <cell r="E212">
            <v>0.09</v>
          </cell>
          <cell r="F212">
            <v>0.09</v>
          </cell>
          <cell r="G212">
            <v>0.09</v>
          </cell>
          <cell r="K212">
            <v>2002</v>
          </cell>
          <cell r="L212" t="str">
            <v>15-64</v>
          </cell>
          <cell r="M212" t="str">
            <v>UNODC Estimate</v>
          </cell>
          <cell r="N212" t="str">
            <v/>
          </cell>
          <cell r="O212" t="str">
            <v/>
          </cell>
        </row>
        <row r="213">
          <cell r="A213" t="str">
            <v>Tunisia</v>
          </cell>
          <cell r="B213">
            <v>0.09</v>
          </cell>
          <cell r="C213">
            <v>0.09</v>
          </cell>
          <cell r="D213">
            <v>0.09</v>
          </cell>
          <cell r="E213">
            <v>0.09</v>
          </cell>
          <cell r="F213">
            <v>0.09</v>
          </cell>
          <cell r="G213">
            <v>0.09</v>
          </cell>
          <cell r="K213">
            <v>2006</v>
          </cell>
          <cell r="L213" t="str">
            <v>15-64</v>
          </cell>
          <cell r="M213" t="str">
            <v>UNODC Estimate</v>
          </cell>
          <cell r="N213" t="str">
            <v/>
          </cell>
          <cell r="O213" t="str">
            <v/>
          </cell>
        </row>
        <row r="214">
          <cell r="A214" t="str">
            <v>Turkey</v>
          </cell>
          <cell r="B214">
            <v>0.05</v>
          </cell>
          <cell r="C214">
            <v>0.05</v>
          </cell>
          <cell r="D214">
            <v>0.11</v>
          </cell>
          <cell r="E214">
            <v>0.05</v>
          </cell>
          <cell r="F214">
            <v>0.05</v>
          </cell>
          <cell r="G214">
            <v>0.11</v>
          </cell>
          <cell r="K214">
            <v>2008</v>
          </cell>
          <cell r="L214" t="str">
            <v>15-64</v>
          </cell>
          <cell r="M214" t="str">
            <v>EMCDDA</v>
          </cell>
          <cell r="N214" t="str">
            <v>I</v>
          </cell>
          <cell r="O214" t="str">
            <v/>
          </cell>
        </row>
        <row r="215">
          <cell r="A215" t="str">
            <v>Turkmenistan</v>
          </cell>
          <cell r="B215">
            <v>0.32</v>
          </cell>
          <cell r="C215">
            <v>0.32</v>
          </cell>
          <cell r="D215">
            <v>0.32</v>
          </cell>
          <cell r="E215">
            <v>0.32</v>
          </cell>
          <cell r="F215">
            <v>0.32</v>
          </cell>
          <cell r="G215">
            <v>0.32</v>
          </cell>
          <cell r="K215">
            <v>2007</v>
          </cell>
          <cell r="L215" t="str">
            <v>15-64</v>
          </cell>
          <cell r="M215" t="str">
            <v>ARQ</v>
          </cell>
          <cell r="N215" t="str">
            <v/>
          </cell>
          <cell r="O215" t="str">
            <v/>
          </cell>
        </row>
        <row r="216">
          <cell r="A216" t="str">
            <v>Turks and Caicos Islands</v>
          </cell>
          <cell r="B216">
            <v>0.07</v>
          </cell>
          <cell r="C216">
            <v>0.07</v>
          </cell>
          <cell r="D216">
            <v>0.07</v>
          </cell>
          <cell r="E216">
            <v>0.07</v>
          </cell>
          <cell r="F216">
            <v>0.07</v>
          </cell>
          <cell r="G216">
            <v>0.07</v>
          </cell>
          <cell r="K216">
            <v>2002</v>
          </cell>
          <cell r="L216" t="str">
            <v>15-64</v>
          </cell>
          <cell r="M216" t="str">
            <v>UNODC Estimate</v>
          </cell>
          <cell r="N216" t="str">
            <v/>
          </cell>
          <cell r="O216" t="str">
            <v/>
          </cell>
        </row>
        <row r="217">
          <cell r="A217" t="str">
            <v>Tuvalu</v>
          </cell>
          <cell r="B217" t="str">
            <v/>
          </cell>
          <cell r="C217" t="str">
            <v/>
          </cell>
          <cell r="D217" t="str">
            <v/>
          </cell>
          <cell r="E217" t="str">
            <v/>
          </cell>
          <cell r="F217" t="str">
            <v/>
          </cell>
          <cell r="G217" t="str">
            <v/>
          </cell>
          <cell r="K217" t="str">
            <v/>
          </cell>
          <cell r="L217" t="str">
            <v/>
          </cell>
          <cell r="M217" t="str">
            <v/>
          </cell>
          <cell r="N217" t="str">
            <v/>
          </cell>
          <cell r="O217" t="str">
            <v/>
          </cell>
        </row>
        <row r="218">
          <cell r="A218" t="str">
            <v>Uganda</v>
          </cell>
          <cell r="B218">
            <v>0.05</v>
          </cell>
          <cell r="C218">
            <v>0.05</v>
          </cell>
          <cell r="D218">
            <v>0.05</v>
          </cell>
          <cell r="E218">
            <v>0.05</v>
          </cell>
          <cell r="F218">
            <v>0.05</v>
          </cell>
          <cell r="G218">
            <v>0.05</v>
          </cell>
          <cell r="K218">
            <v>2004</v>
          </cell>
          <cell r="L218" t="str">
            <v>15-64</v>
          </cell>
          <cell r="M218" t="str">
            <v>Cure Research estimate</v>
          </cell>
          <cell r="N218" t="str">
            <v/>
          </cell>
          <cell r="O218" t="str">
            <v/>
          </cell>
        </row>
        <row r="219">
          <cell r="A219" t="str">
            <v>Ukraine</v>
          </cell>
          <cell r="B219">
            <v>0.9</v>
          </cell>
          <cell r="C219">
            <v>0.901130368612349</v>
          </cell>
          <cell r="D219">
            <v>0.901130368612349</v>
          </cell>
          <cell r="E219">
            <v>0.901130368612349</v>
          </cell>
          <cell r="F219">
            <v>0.901130368612349</v>
          </cell>
          <cell r="G219">
            <v>0.901130368612349</v>
          </cell>
          <cell r="K219">
            <v>2009</v>
          </cell>
          <cell r="L219" t="str">
            <v>15-64</v>
          </cell>
          <cell r="M219" t="str">
            <v>ARQ</v>
          </cell>
          <cell r="N219" t="str">
            <v>I</v>
          </cell>
          <cell r="O219" t="str">
            <v/>
          </cell>
        </row>
        <row r="220">
          <cell r="A220" t="str">
            <v>United Arab Emirates</v>
          </cell>
          <cell r="B220">
            <v>0.02</v>
          </cell>
          <cell r="C220">
            <v>0.02</v>
          </cell>
          <cell r="D220">
            <v>0.02</v>
          </cell>
          <cell r="E220">
            <v>0.02</v>
          </cell>
          <cell r="F220">
            <v>0.02</v>
          </cell>
          <cell r="G220">
            <v>0.02</v>
          </cell>
          <cell r="K220">
            <v>2004</v>
          </cell>
          <cell r="L220" t="str">
            <v>15-64</v>
          </cell>
          <cell r="M220" t="str">
            <v>UNODC Estimate</v>
          </cell>
          <cell r="N220" t="str">
            <v/>
          </cell>
          <cell r="O220" t="str">
            <v/>
          </cell>
        </row>
        <row r="221">
          <cell r="A221" t="str">
            <v>United Kingdom</v>
          </cell>
          <cell r="B221">
            <v>0.8232351872290747</v>
          </cell>
          <cell r="C221">
            <v>0.8097428489794938</v>
          </cell>
          <cell r="D221">
            <v>0.8450246192282459</v>
          </cell>
          <cell r="E221">
            <v>0.7980188166076686</v>
          </cell>
          <cell r="F221">
            <v>0.7884002062857429</v>
          </cell>
          <cell r="G221">
            <v>0.8228712457251394</v>
          </cell>
          <cell r="K221">
            <v>2007</v>
          </cell>
          <cell r="L221" t="str">
            <v>16-59</v>
          </cell>
          <cell r="M221" t="str">
            <v>Government source</v>
          </cell>
          <cell r="N221" t="str">
            <v>HHS</v>
          </cell>
          <cell r="O221" t="str">
            <v/>
          </cell>
        </row>
        <row r="222">
          <cell r="A222" t="str">
            <v>United Kingdom (England and Wales)</v>
          </cell>
          <cell r="B222">
            <v>0.7582116277153763</v>
          </cell>
          <cell r="C222">
            <v>0.7470919726471315</v>
          </cell>
          <cell r="D222">
            <v>0.7773696207398456</v>
          </cell>
          <cell r="E222" t="str">
            <v/>
          </cell>
          <cell r="F222" t="str">
            <v/>
          </cell>
          <cell r="G222" t="str">
            <v/>
          </cell>
          <cell r="K222">
            <v>2010</v>
          </cell>
          <cell r="L222" t="str">
            <v>15-64</v>
          </cell>
          <cell r="M222" t="str">
            <v>Government Report</v>
          </cell>
          <cell r="N222" t="str">
            <v>I</v>
          </cell>
          <cell r="O222" t="str">
            <v/>
          </cell>
        </row>
        <row r="223">
          <cell r="A223" t="str">
            <v>United Kingdom (Northern Ireland)</v>
          </cell>
          <cell r="B223">
            <v>0.128</v>
          </cell>
          <cell r="C223">
            <v>0.121</v>
          </cell>
          <cell r="D223">
            <v>0.175</v>
          </cell>
          <cell r="E223" t="str">
            <v/>
          </cell>
          <cell r="F223" t="str">
            <v/>
          </cell>
          <cell r="G223" t="str">
            <v/>
          </cell>
          <cell r="K223">
            <v>2006</v>
          </cell>
          <cell r="L223" t="str">
            <v>15-64</v>
          </cell>
          <cell r="M223" t="str">
            <v>Government Report</v>
          </cell>
          <cell r="N223" t="str">
            <v>I</v>
          </cell>
          <cell r="O223" t="str">
            <v/>
          </cell>
        </row>
        <row r="224">
          <cell r="A224" t="str">
            <v>United Kingdom (Scotland)</v>
          </cell>
          <cell r="B224">
            <v>1.71</v>
          </cell>
          <cell r="C224">
            <v>1.67</v>
          </cell>
          <cell r="D224">
            <v>1.75</v>
          </cell>
          <cell r="E224" t="str">
            <v/>
          </cell>
          <cell r="F224" t="str">
            <v/>
          </cell>
          <cell r="G224" t="str">
            <v/>
          </cell>
          <cell r="K224">
            <v>2010</v>
          </cell>
          <cell r="L224" t="str">
            <v>15-64</v>
          </cell>
          <cell r="M224" t="str">
            <v>Government Report</v>
          </cell>
          <cell r="N224" t="str">
            <v>I</v>
          </cell>
          <cell r="O224" t="str">
            <v/>
          </cell>
        </row>
        <row r="225">
          <cell r="A225" t="str">
            <v>United States of America</v>
          </cell>
          <cell r="B225">
            <v>5.808000184150679</v>
          </cell>
          <cell r="C225">
            <v>5.523000184150679</v>
          </cell>
          <cell r="D225">
            <v>6.09300018415068</v>
          </cell>
          <cell r="E225">
            <v>0.57</v>
          </cell>
          <cell r="F225">
            <v>0.43</v>
          </cell>
          <cell r="G225">
            <v>0.71</v>
          </cell>
          <cell r="H225">
            <v>5.6</v>
          </cell>
          <cell r="I225">
            <v>5.6</v>
          </cell>
          <cell r="J225">
            <v>5.6</v>
          </cell>
          <cell r="K225">
            <v>2010</v>
          </cell>
          <cell r="L225" t="str">
            <v>15-64</v>
          </cell>
          <cell r="M225" t="str">
            <v>Government source</v>
          </cell>
          <cell r="N225" t="str">
            <v>HHS, x</v>
          </cell>
          <cell r="O225" t="str">
            <v>a</v>
          </cell>
        </row>
        <row r="226">
          <cell r="A226" t="str">
            <v>United States Virgin Islands</v>
          </cell>
          <cell r="B226" t="str">
            <v/>
          </cell>
          <cell r="C226" t="str">
            <v/>
          </cell>
          <cell r="D226" t="str">
            <v/>
          </cell>
          <cell r="E226" t="str">
            <v/>
          </cell>
          <cell r="F226" t="str">
            <v/>
          </cell>
          <cell r="G226" t="str">
            <v/>
          </cell>
          <cell r="K226" t="str">
            <v/>
          </cell>
          <cell r="L226" t="str">
            <v/>
          </cell>
          <cell r="M226" t="str">
            <v/>
          </cell>
          <cell r="N226" t="str">
            <v/>
          </cell>
          <cell r="O226" t="str">
            <v/>
          </cell>
        </row>
        <row r="227">
          <cell r="A227" t="str">
            <v>Uruguay</v>
          </cell>
          <cell r="B227">
            <v>0.1</v>
          </cell>
          <cell r="C227">
            <v>0.1</v>
          </cell>
          <cell r="D227">
            <v>0.1</v>
          </cell>
          <cell r="E227">
            <v>0.1</v>
          </cell>
          <cell r="F227">
            <v>0.1</v>
          </cell>
          <cell r="G227">
            <v>0.1</v>
          </cell>
          <cell r="H227">
            <v>0</v>
          </cell>
          <cell r="I227">
            <v>0</v>
          </cell>
          <cell r="J227">
            <v>0</v>
          </cell>
          <cell r="K227">
            <v>2006</v>
          </cell>
          <cell r="L227" t="str">
            <v>15-64</v>
          </cell>
          <cell r="M227" t="str">
            <v>ARQ</v>
          </cell>
          <cell r="N227" t="str">
            <v>HHS</v>
          </cell>
          <cell r="O227" t="str">
            <v>e</v>
          </cell>
        </row>
        <row r="228">
          <cell r="A228" t="str">
            <v>Uzbekistan</v>
          </cell>
          <cell r="B228">
            <v>0.8</v>
          </cell>
          <cell r="C228">
            <v>0.8</v>
          </cell>
          <cell r="D228">
            <v>0.8</v>
          </cell>
          <cell r="E228">
            <v>0.78</v>
          </cell>
          <cell r="F228">
            <v>0.78</v>
          </cell>
          <cell r="G228">
            <v>0.78</v>
          </cell>
          <cell r="H228">
            <v>0.0176</v>
          </cell>
          <cell r="I228">
            <v>0.0176</v>
          </cell>
          <cell r="J228">
            <v>0.0176</v>
          </cell>
          <cell r="K228">
            <v>2006</v>
          </cell>
          <cell r="L228" t="str">
            <v>15-64</v>
          </cell>
          <cell r="M228" t="str">
            <v>UNODC (GAP survey)</v>
          </cell>
          <cell r="N228" t="str">
            <v/>
          </cell>
          <cell r="O228" t="str">
            <v>i</v>
          </cell>
        </row>
        <row r="229">
          <cell r="A229" t="str">
            <v>Vanuatu</v>
          </cell>
          <cell r="B229" t="str">
            <v/>
          </cell>
          <cell r="C229" t="str">
            <v/>
          </cell>
          <cell r="D229" t="str">
            <v/>
          </cell>
          <cell r="E229" t="str">
            <v/>
          </cell>
          <cell r="F229" t="str">
            <v/>
          </cell>
          <cell r="G229" t="str">
            <v/>
          </cell>
          <cell r="K229" t="str">
            <v/>
          </cell>
          <cell r="L229" t="str">
            <v/>
          </cell>
          <cell r="M229" t="str">
            <v/>
          </cell>
          <cell r="N229" t="str">
            <v/>
          </cell>
          <cell r="O229" t="str">
            <v/>
          </cell>
        </row>
        <row r="230">
          <cell r="A230" t="str">
            <v>Venezuela (Bolivarian Republic of)</v>
          </cell>
          <cell r="B230">
            <v>0.018834655756593776</v>
          </cell>
          <cell r="C230">
            <v>0.018834655756593776</v>
          </cell>
          <cell r="D230">
            <v>0.018834655756593776</v>
          </cell>
          <cell r="E230">
            <v>0.018834655756593776</v>
          </cell>
          <cell r="F230">
            <v>0.018834655756593776</v>
          </cell>
          <cell r="G230">
            <v>0.018834655756593776</v>
          </cell>
          <cell r="K230">
            <v>2011</v>
          </cell>
          <cell r="L230" t="str">
            <v>12-65</v>
          </cell>
          <cell r="M230" t="str">
            <v>Government Source</v>
          </cell>
          <cell r="N230" t="str">
            <v>HHS</v>
          </cell>
          <cell r="O230" t="str">
            <v/>
          </cell>
        </row>
        <row r="231">
          <cell r="A231" t="str">
            <v>Viet Nam</v>
          </cell>
          <cell r="B231">
            <v>0.27</v>
          </cell>
          <cell r="C231">
            <v>0.25</v>
          </cell>
          <cell r="D231">
            <v>0.28</v>
          </cell>
          <cell r="E231">
            <v>0.27</v>
          </cell>
          <cell r="F231">
            <v>0.25</v>
          </cell>
          <cell r="G231">
            <v>0.28</v>
          </cell>
          <cell r="K231">
            <v>2005</v>
          </cell>
          <cell r="L231" t="str">
            <v>15-64</v>
          </cell>
          <cell r="M231" t="str">
            <v>INCSR/ Reference Group to the UN on HIV and IDU</v>
          </cell>
          <cell r="N231" t="str">
            <v/>
          </cell>
          <cell r="O231" t="str">
            <v/>
          </cell>
        </row>
        <row r="232">
          <cell r="A232" t="str">
            <v>Wallis and Futuna Islands</v>
          </cell>
          <cell r="B232" t="str">
            <v/>
          </cell>
          <cell r="C232" t="str">
            <v/>
          </cell>
          <cell r="D232" t="str">
            <v/>
          </cell>
          <cell r="E232" t="str">
            <v/>
          </cell>
          <cell r="F232" t="str">
            <v/>
          </cell>
          <cell r="G232" t="str">
            <v/>
          </cell>
          <cell r="K232" t="str">
            <v/>
          </cell>
          <cell r="L232" t="str">
            <v/>
          </cell>
          <cell r="M232" t="str">
            <v/>
          </cell>
          <cell r="N232" t="str">
            <v/>
          </cell>
          <cell r="O232" t="str">
            <v/>
          </cell>
        </row>
        <row r="233">
          <cell r="A233" t="str">
            <v>Yemen</v>
          </cell>
          <cell r="B233" t="str">
            <v/>
          </cell>
          <cell r="C233" t="str">
            <v/>
          </cell>
          <cell r="D233" t="str">
            <v/>
          </cell>
          <cell r="E233" t="str">
            <v/>
          </cell>
          <cell r="F233" t="str">
            <v/>
          </cell>
          <cell r="G233" t="str">
            <v/>
          </cell>
          <cell r="K233" t="str">
            <v/>
          </cell>
          <cell r="L233" t="str">
            <v/>
          </cell>
          <cell r="M233" t="str">
            <v/>
          </cell>
          <cell r="N233" t="str">
            <v/>
          </cell>
          <cell r="O233" t="str">
            <v/>
          </cell>
        </row>
        <row r="234">
          <cell r="A234" t="str">
            <v>Zambia</v>
          </cell>
          <cell r="B234">
            <v>0.37</v>
          </cell>
          <cell r="C234">
            <v>0.37</v>
          </cell>
          <cell r="D234">
            <v>0.37</v>
          </cell>
          <cell r="E234">
            <v>0.37</v>
          </cell>
          <cell r="F234">
            <v>0.37</v>
          </cell>
          <cell r="G234">
            <v>0.37</v>
          </cell>
          <cell r="K234">
            <v>2003</v>
          </cell>
          <cell r="L234" t="str">
            <v>15-64</v>
          </cell>
          <cell r="M234" t="str">
            <v>UNODC Estimate</v>
          </cell>
          <cell r="N234" t="str">
            <v/>
          </cell>
          <cell r="O234" t="str">
            <v/>
          </cell>
        </row>
        <row r="235">
          <cell r="A235" t="str">
            <v>Zimbabwe</v>
          </cell>
          <cell r="B235">
            <v>0.04</v>
          </cell>
          <cell r="C235">
            <v>0.04</v>
          </cell>
          <cell r="D235">
            <v>0.04</v>
          </cell>
          <cell r="E235">
            <v>0.04</v>
          </cell>
          <cell r="F235">
            <v>0.04</v>
          </cell>
          <cell r="G235">
            <v>0.04</v>
          </cell>
          <cell r="K235">
            <v>2004</v>
          </cell>
          <cell r="L235" t="str">
            <v>15-64</v>
          </cell>
          <cell r="M235" t="str">
            <v>Cure Research estimate</v>
          </cell>
          <cell r="N235" t="str">
            <v/>
          </cell>
          <cell r="O235"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UPLOAD"/>
      <sheetName val="FINAL UPLOOAD"/>
      <sheetName val="RESULTS OPIOIDS"/>
      <sheetName val="RESULTS OPIATES"/>
      <sheetName val="TABLES OPIATES"/>
      <sheetName val="TABLES OPIOIDS"/>
      <sheetName val="Instructions"/>
      <sheetName val="Africa"/>
      <sheetName val="Americas"/>
      <sheetName val="Asia"/>
      <sheetName val="Sheet1"/>
      <sheetName val="Europe"/>
      <sheetName val="Oceania"/>
      <sheetName val="LookupTables"/>
      <sheetName val="DeltaPivots"/>
      <sheetName val="PolyDrugUse"/>
      <sheetName val="Issues"/>
      <sheetName val="DeltaPivots (2)"/>
    </sheetNames>
    <sheetDataSet>
      <sheetData sheetId="2">
        <row r="32">
          <cell r="E32" t="str">
            <v>Kenya</v>
          </cell>
          <cell r="F32" t="str">
            <v>Kenya</v>
          </cell>
          <cell r="G32">
            <v>40.512682</v>
          </cell>
          <cell r="H32">
            <v>22.237983</v>
          </cell>
          <cell r="I32">
            <v>35580.772800000006</v>
          </cell>
          <cell r="J32">
            <v>289093.77900000004</v>
          </cell>
          <cell r="K32">
            <v>162337.2759</v>
          </cell>
          <cell r="L32">
            <v>0.73</v>
          </cell>
          <cell r="M32">
            <v>2004</v>
          </cell>
          <cell r="N32" t="str">
            <v>15-64</v>
          </cell>
          <cell r="O32" t="str">
            <v>Reference Group to the UN on HIV and IDU</v>
          </cell>
          <cell r="P32" t="str">
            <v>I</v>
          </cell>
          <cell r="Q32" t="str">
            <v>c, i</v>
          </cell>
          <cell r="R32" t="str">
            <v>Extrapolated data from Malandi, coastal town; refers to injecting drug users</v>
          </cell>
          <cell r="S32" t="str">
            <v>Y</v>
          </cell>
          <cell r="T32">
            <v>0.16</v>
          </cell>
          <cell r="U32">
            <v>1.3</v>
          </cell>
        </row>
        <row r="33">
          <cell r="E33" t="str">
            <v>Mauritius</v>
          </cell>
          <cell r="F33" t="str">
            <v>Mauritius</v>
          </cell>
          <cell r="G33">
            <v>1.299172</v>
          </cell>
          <cell r="H33">
            <v>0.925211</v>
          </cell>
          <cell r="I33">
            <v>18041.6145</v>
          </cell>
          <cell r="J33">
            <v>18041.6145</v>
          </cell>
          <cell r="K33">
            <v>18041.6145</v>
          </cell>
          <cell r="L33">
            <v>1.95</v>
          </cell>
          <cell r="M33">
            <v>2007</v>
          </cell>
          <cell r="N33" t="str">
            <v>15-54</v>
          </cell>
          <cell r="O33" t="str">
            <v>ARQ</v>
          </cell>
          <cell r="P33" t="str">
            <v>I</v>
          </cell>
          <cell r="R33" t="str">
            <v>RSA Mauritius/UNODC age adjusted</v>
          </cell>
          <cell r="S33" t="str">
            <v>Y</v>
          </cell>
          <cell r="T33">
            <v>1.95</v>
          </cell>
          <cell r="U33">
            <v>1.95</v>
          </cell>
        </row>
        <row r="34">
          <cell r="E34" t="str">
            <v>Rwanda</v>
          </cell>
          <cell r="F34" t="str">
            <v>Rwanda</v>
          </cell>
          <cell r="G34">
            <v>10.624004999999999</v>
          </cell>
          <cell r="H34">
            <v>5.811287999999999</v>
          </cell>
          <cell r="I34">
            <v>8135.8032</v>
          </cell>
          <cell r="J34">
            <v>8135.8032</v>
          </cell>
          <cell r="K34">
            <v>8135.8032</v>
          </cell>
          <cell r="L34">
            <v>0.14</v>
          </cell>
          <cell r="M34">
            <v>2004</v>
          </cell>
          <cell r="N34" t="str">
            <v>15-64</v>
          </cell>
          <cell r="O34" t="str">
            <v>Cure Research estimate</v>
          </cell>
          <cell r="R34" t="str">
            <v>Extrapolated data 3 times incidence</v>
          </cell>
          <cell r="S34" t="str">
            <v>Y</v>
          </cell>
          <cell r="T34">
            <v>0.14</v>
          </cell>
          <cell r="U34">
            <v>0.14</v>
          </cell>
        </row>
        <row r="35">
          <cell r="E35" t="str">
            <v>Somalia</v>
          </cell>
          <cell r="F35" t="str">
            <v>Somalia</v>
          </cell>
          <cell r="G35">
            <v>9.330872</v>
          </cell>
          <cell r="H35">
            <v>4.884572</v>
          </cell>
          <cell r="I35">
            <v>7815.3152</v>
          </cell>
          <cell r="J35">
            <v>7815.3152</v>
          </cell>
          <cell r="K35">
            <v>7815.3152</v>
          </cell>
          <cell r="L35">
            <v>0.16</v>
          </cell>
          <cell r="M35">
            <v>2004</v>
          </cell>
          <cell r="N35" t="str">
            <v>15-64</v>
          </cell>
          <cell r="O35" t="str">
            <v>Cure Research estimate</v>
          </cell>
          <cell r="R35" t="str">
            <v>Extrapolated data 3 times incidence</v>
          </cell>
          <cell r="S35" t="str">
            <v>Y</v>
          </cell>
          <cell r="T35">
            <v>0.16</v>
          </cell>
          <cell r="U35">
            <v>0.16</v>
          </cell>
        </row>
        <row r="36">
          <cell r="E36" t="str">
            <v>Uganda</v>
          </cell>
          <cell r="F36" t="str">
            <v>Uganda</v>
          </cell>
          <cell r="G36">
            <v>33.424682999999995</v>
          </cell>
          <cell r="H36">
            <v>16.397829</v>
          </cell>
          <cell r="I36">
            <v>8198.914500000003</v>
          </cell>
          <cell r="J36">
            <v>8198.914500000003</v>
          </cell>
          <cell r="K36">
            <v>8198.914500000003</v>
          </cell>
          <cell r="L36">
            <v>0.05</v>
          </cell>
          <cell r="M36">
            <v>2004</v>
          </cell>
          <cell r="N36" t="str">
            <v>15-64</v>
          </cell>
          <cell r="O36" t="str">
            <v>Cure Research estimate</v>
          </cell>
          <cell r="R36" t="str">
            <v>Extrapolated data incidence</v>
          </cell>
          <cell r="S36" t="str">
            <v>Y</v>
          </cell>
          <cell r="T36">
            <v>0.05</v>
          </cell>
          <cell r="U36">
            <v>0.05</v>
          </cell>
        </row>
        <row r="40">
          <cell r="E40" t="str">
            <v>Subtotal I</v>
          </cell>
          <cell r="G40">
            <v>95.19141399999998</v>
          </cell>
          <cell r="H40">
            <v>50.256883</v>
          </cell>
          <cell r="I40">
            <v>77772.42020000001</v>
          </cell>
          <cell r="J40">
            <v>331285.4264000001</v>
          </cell>
          <cell r="K40">
            <v>204528.92330000002</v>
          </cell>
          <cell r="L40">
            <v>0.40696698858144464</v>
          </cell>
        </row>
        <row r="42">
          <cell r="E42" t="str">
            <v>Burundi</v>
          </cell>
          <cell r="F42" t="str">
            <v>Burundi</v>
          </cell>
          <cell r="G42">
            <v>8.382849</v>
          </cell>
          <cell r="H42">
            <v>4.968251</v>
          </cell>
          <cell r="I42">
            <v>0</v>
          </cell>
          <cell r="J42">
            <v>0</v>
          </cell>
          <cell r="S42" t="str">
            <v>N</v>
          </cell>
        </row>
        <row r="43">
          <cell r="E43" t="str">
            <v>Comoros</v>
          </cell>
          <cell r="F43" t="str">
            <v>Comoros</v>
          </cell>
          <cell r="G43">
            <v>0.73475</v>
          </cell>
          <cell r="H43">
            <v>0.401677</v>
          </cell>
          <cell r="I43">
            <v>0</v>
          </cell>
          <cell r="J43">
            <v>0</v>
          </cell>
          <cell r="S43" t="str">
            <v>N</v>
          </cell>
        </row>
        <row r="44">
          <cell r="E44" t="str">
            <v>Djibouti</v>
          </cell>
          <cell r="F44" t="str">
            <v>Djibouti</v>
          </cell>
          <cell r="G44">
            <v>0.8887160000000001</v>
          </cell>
          <cell r="H44">
            <v>0.541103</v>
          </cell>
          <cell r="I44">
            <v>0</v>
          </cell>
          <cell r="J44">
            <v>0</v>
          </cell>
          <cell r="S44" t="str">
            <v>N</v>
          </cell>
        </row>
        <row r="45">
          <cell r="E45" t="str">
            <v>Eritrea</v>
          </cell>
          <cell r="F45" t="str">
            <v>Eritrea</v>
          </cell>
          <cell r="G45">
            <v>5.2536760000000005</v>
          </cell>
          <cell r="H45">
            <v>2.9380610000000003</v>
          </cell>
          <cell r="I45">
            <v>0</v>
          </cell>
          <cell r="J45">
            <v>0</v>
          </cell>
          <cell r="S45" t="str">
            <v>N</v>
          </cell>
        </row>
        <row r="46">
          <cell r="E46" t="str">
            <v>Ethiopia</v>
          </cell>
          <cell r="F46" t="str">
            <v>Ethiopia</v>
          </cell>
          <cell r="G46">
            <v>82.949541</v>
          </cell>
          <cell r="H46">
            <v>45.786875</v>
          </cell>
          <cell r="I46">
            <v>0</v>
          </cell>
          <cell r="J46">
            <v>0</v>
          </cell>
          <cell r="S46" t="str">
            <v>N</v>
          </cell>
        </row>
        <row r="47">
          <cell r="E47" t="str">
            <v>Madagascar</v>
          </cell>
          <cell r="F47" t="str">
            <v>Madagascar</v>
          </cell>
          <cell r="G47">
            <v>20.713819</v>
          </cell>
          <cell r="H47">
            <v>11.135971999999999</v>
          </cell>
          <cell r="I47">
            <v>0</v>
          </cell>
          <cell r="J47">
            <v>0</v>
          </cell>
          <cell r="S47" t="str">
            <v>N</v>
          </cell>
        </row>
        <row r="48">
          <cell r="E48" t="str">
            <v>Seychelles</v>
          </cell>
          <cell r="F48" t="str">
            <v>Seychelles</v>
          </cell>
          <cell r="G48">
            <v>0.086518</v>
          </cell>
          <cell r="H48">
            <v>0.06142778</v>
          </cell>
          <cell r="I48">
            <v>0</v>
          </cell>
          <cell r="J48">
            <v>0</v>
          </cell>
          <cell r="S48" t="str">
            <v>N</v>
          </cell>
        </row>
        <row r="49">
          <cell r="E49" t="str">
            <v>Tanzania (United Republic of)</v>
          </cell>
          <cell r="F49" t="str">
            <v>Tanzania (United Republic of)</v>
          </cell>
          <cell r="G49">
            <v>44.841226</v>
          </cell>
          <cell r="H49">
            <v>23.384018</v>
          </cell>
          <cell r="I49">
            <v>0</v>
          </cell>
          <cell r="J49">
            <v>0</v>
          </cell>
          <cell r="S49" t="str">
            <v>N</v>
          </cell>
        </row>
        <row r="50">
          <cell r="E50" t="str">
            <v>Réunion</v>
          </cell>
          <cell r="F50" t="str">
            <v>Réunion</v>
          </cell>
          <cell r="G50">
            <v>0.8460679999999999</v>
          </cell>
          <cell r="H50">
            <v>0.5591</v>
          </cell>
          <cell r="I50">
            <v>0</v>
          </cell>
          <cell r="J50">
            <v>0</v>
          </cell>
          <cell r="S50" t="str">
            <v>N</v>
          </cell>
        </row>
        <row r="53">
          <cell r="E53" t="str">
            <v>Subtotal II</v>
          </cell>
          <cell r="G53">
            <v>164.697163</v>
          </cell>
          <cell r="H53">
            <v>89.77648478</v>
          </cell>
          <cell r="I53">
            <v>0</v>
          </cell>
          <cell r="J53">
            <v>0</v>
          </cell>
          <cell r="K53">
            <v>365360.65656344505</v>
          </cell>
        </row>
        <row r="55">
          <cell r="E55" t="str">
            <v>Total E.Africa</v>
          </cell>
          <cell r="F55">
            <v>1</v>
          </cell>
          <cell r="G55">
            <v>259.88857699999994</v>
          </cell>
          <cell r="H55">
            <v>140.03336778</v>
          </cell>
          <cell r="I55">
            <v>77772.42020000001</v>
          </cell>
          <cell r="J55">
            <v>331285.4264000001</v>
          </cell>
          <cell r="K55">
            <v>569889.5798634451</v>
          </cell>
          <cell r="T55">
            <v>0.086</v>
          </cell>
          <cell r="U55">
            <v>1.6899999999999997</v>
          </cell>
        </row>
        <row r="56">
          <cell r="F56" t="str">
            <v>MIN</v>
          </cell>
          <cell r="H56">
            <v>140.03336778</v>
          </cell>
          <cell r="I56">
            <v>154980.1971108</v>
          </cell>
          <cell r="L56">
            <v>0.11067376266653979</v>
          </cell>
        </row>
        <row r="57">
          <cell r="F57" t="str">
            <v>MAX</v>
          </cell>
          <cell r="H57">
            <v>140.03336778</v>
          </cell>
          <cell r="I57">
            <v>1848508.0191819998</v>
          </cell>
          <cell r="L57">
            <v>1.3200482488474503</v>
          </cell>
        </row>
        <row r="58">
          <cell r="F58" t="str">
            <v>BE</v>
          </cell>
          <cell r="H58">
            <v>140.03336778</v>
          </cell>
          <cell r="I58">
            <v>569889.5798634451</v>
          </cell>
          <cell r="L58">
            <v>0.40696698858144476</v>
          </cell>
        </row>
        <row r="60">
          <cell r="AG60" t="str">
            <v>Updated from WDR 2011</v>
          </cell>
        </row>
        <row r="62">
          <cell r="E62" t="str">
            <v>Algeria</v>
          </cell>
          <cell r="F62" t="str">
            <v>Algeria</v>
          </cell>
          <cell r="G62">
            <v>35.468208</v>
          </cell>
          <cell r="H62">
            <v>24.246275</v>
          </cell>
          <cell r="I62">
            <v>29095.53</v>
          </cell>
          <cell r="J62">
            <v>29095.53</v>
          </cell>
          <cell r="K62">
            <v>29095.53</v>
          </cell>
          <cell r="L62">
            <v>0.12</v>
          </cell>
          <cell r="M62">
            <v>2004</v>
          </cell>
          <cell r="N62" t="str">
            <v>15-64</v>
          </cell>
          <cell r="O62" t="str">
            <v>UNODC Estimate</v>
          </cell>
          <cell r="R62" t="str">
            <v>Based on Treatment data</v>
          </cell>
          <cell r="S62" t="str">
            <v>Y</v>
          </cell>
          <cell r="T62">
            <v>0.12</v>
          </cell>
          <cell r="U62">
            <v>0.12</v>
          </cell>
        </row>
        <row r="63">
          <cell r="E63" t="str">
            <v>Egypt</v>
          </cell>
          <cell r="F63" t="str">
            <v>Egypt</v>
          </cell>
          <cell r="G63">
            <v>81.121077</v>
          </cell>
          <cell r="H63">
            <v>51.45957</v>
          </cell>
          <cell r="I63">
            <v>72043.398</v>
          </cell>
          <cell r="J63">
            <v>375654.86100000003</v>
          </cell>
          <cell r="K63">
            <v>226422.108</v>
          </cell>
          <cell r="L63">
            <v>0.44</v>
          </cell>
          <cell r="M63">
            <v>2006</v>
          </cell>
          <cell r="N63" t="str">
            <v>15-64</v>
          </cell>
          <cell r="O63" t="str">
            <v>Govt;  Academic Research</v>
          </cell>
          <cell r="P63" t="str">
            <v>HHS, SS</v>
          </cell>
          <cell r="Q63" t="str">
            <v>a, d</v>
          </cell>
          <cell r="R63" t="str">
            <v>National Study of Addiction: Prevalence of the Use of Drugs and Alcohol in Egypt (2005-2006); 15+yrs .504% adjusted for cocaine (seizures 3%) and age</v>
          </cell>
          <cell r="S63" t="str">
            <v>Y</v>
          </cell>
          <cell r="T63">
            <v>0.14</v>
          </cell>
          <cell r="U63">
            <v>0.73</v>
          </cell>
        </row>
        <row r="64">
          <cell r="E64" t="str">
            <v>Libyan Arab Jamahiriya</v>
          </cell>
          <cell r="F64" t="str">
            <v>Libyan Arab Jamahiriya</v>
          </cell>
          <cell r="G64">
            <v>6.355112</v>
          </cell>
          <cell r="H64">
            <v>4.148362</v>
          </cell>
          <cell r="I64">
            <v>5807.706800000001</v>
          </cell>
          <cell r="J64">
            <v>5807.706800000001</v>
          </cell>
          <cell r="K64">
            <v>5807.706800000001</v>
          </cell>
          <cell r="L64">
            <v>0.14</v>
          </cell>
          <cell r="M64">
            <v>2004</v>
          </cell>
          <cell r="N64" t="str">
            <v>15-64</v>
          </cell>
          <cell r="O64" t="str">
            <v>UNODC Estimate</v>
          </cell>
          <cell r="R64" t="str">
            <v>Extrapolation Based on DU reported by Reference group to the UN on HIV and IDU</v>
          </cell>
          <cell r="S64" t="str">
            <v>Y</v>
          </cell>
          <cell r="T64">
            <v>0.14</v>
          </cell>
          <cell r="U64">
            <v>0.14</v>
          </cell>
        </row>
        <row r="65">
          <cell r="E65" t="str">
            <v>Morocco</v>
          </cell>
          <cell r="F65" t="str">
            <v>Morocco</v>
          </cell>
          <cell r="G65">
            <v>31.951412</v>
          </cell>
          <cell r="H65">
            <v>21.247364</v>
          </cell>
          <cell r="I65">
            <v>4249.4728000000005</v>
          </cell>
          <cell r="J65">
            <v>4249.4728000000005</v>
          </cell>
          <cell r="K65">
            <v>4249.4728000000005</v>
          </cell>
          <cell r="L65">
            <v>0.02</v>
          </cell>
          <cell r="M65">
            <v>2003</v>
          </cell>
          <cell r="N65" t="str">
            <v>15-64</v>
          </cell>
          <cell r="O65" t="str">
            <v>ARQ</v>
          </cell>
          <cell r="S65" t="str">
            <v>Y</v>
          </cell>
          <cell r="T65">
            <v>0.02</v>
          </cell>
          <cell r="U65">
            <v>0.02</v>
          </cell>
        </row>
        <row r="66">
          <cell r="E66" t="str">
            <v>Tunisia</v>
          </cell>
          <cell r="F66" t="str">
            <v>Tunisia</v>
          </cell>
          <cell r="G66">
            <v>10.480934</v>
          </cell>
          <cell r="H66">
            <v>7.293724</v>
          </cell>
          <cell r="I66">
            <v>6564.3516</v>
          </cell>
          <cell r="J66">
            <v>6564.3516</v>
          </cell>
          <cell r="K66">
            <v>6564.3516</v>
          </cell>
          <cell r="L66">
            <v>0.09</v>
          </cell>
          <cell r="M66">
            <v>2006</v>
          </cell>
          <cell r="N66" t="str">
            <v>15-64</v>
          </cell>
          <cell r="O66" t="str">
            <v>UNODC Estimate</v>
          </cell>
          <cell r="R66" t="str">
            <v>Extrapolation Based on DU reported by Reference group to the UN on HIV and IDU</v>
          </cell>
          <cell r="S66" t="str">
            <v>Y</v>
          </cell>
          <cell r="T66">
            <v>0.09</v>
          </cell>
          <cell r="U66">
            <v>0.09</v>
          </cell>
        </row>
        <row r="69">
          <cell r="E69" t="str">
            <v>Subtotal I</v>
          </cell>
          <cell r="G69">
            <v>165.37674299999998</v>
          </cell>
          <cell r="H69">
            <v>108.395295</v>
          </cell>
          <cell r="I69">
            <v>117760.4592</v>
          </cell>
          <cell r="J69">
            <v>421371.92220000003</v>
          </cell>
          <cell r="K69">
            <v>272139.1692</v>
          </cell>
          <cell r="L69">
            <v>0.25106179119674893</v>
          </cell>
        </row>
        <row r="72">
          <cell r="E72" t="str">
            <v>Sudan</v>
          </cell>
          <cell r="F72" t="str">
            <v>Sudan</v>
          </cell>
          <cell r="G72">
            <v>43.551941</v>
          </cell>
          <cell r="H72">
            <v>24.539987</v>
          </cell>
          <cell r="I72">
            <v>0</v>
          </cell>
          <cell r="J72">
            <v>0</v>
          </cell>
          <cell r="S72" t="str">
            <v>N</v>
          </cell>
        </row>
        <row r="75">
          <cell r="E75" t="str">
            <v>Subtotal II</v>
          </cell>
          <cell r="G75">
            <v>43.551941</v>
          </cell>
          <cell r="H75">
            <v>24.539987</v>
          </cell>
          <cell r="I75">
            <v>0</v>
          </cell>
          <cell r="J75">
            <v>0</v>
          </cell>
          <cell r="K75">
            <v>61610.53092164933</v>
          </cell>
        </row>
        <row r="77">
          <cell r="E77" t="str">
            <v>Total N.Africa</v>
          </cell>
          <cell r="F77">
            <v>1</v>
          </cell>
          <cell r="G77">
            <v>208.92868399999998</v>
          </cell>
          <cell r="H77">
            <v>132.935282</v>
          </cell>
          <cell r="I77">
            <v>117760.4592</v>
          </cell>
          <cell r="J77">
            <v>421371.92220000003</v>
          </cell>
          <cell r="K77">
            <v>333749.7001216493</v>
          </cell>
          <cell r="T77">
            <v>0.04799999999999999</v>
          </cell>
          <cell r="U77">
            <v>0.4939999999999998</v>
          </cell>
        </row>
        <row r="78">
          <cell r="F78" t="str">
            <v>MIN</v>
          </cell>
          <cell r="H78">
            <v>132.935282</v>
          </cell>
          <cell r="I78">
            <v>129539.65295999999</v>
          </cell>
          <cell r="L78">
            <v>0.09744565250931651</v>
          </cell>
        </row>
        <row r="79">
          <cell r="F79" t="str">
            <v>MAX</v>
          </cell>
          <cell r="H79">
            <v>132.935282</v>
          </cell>
          <cell r="I79">
            <v>542599.45798</v>
          </cell>
          <cell r="L79">
            <v>0.4081681325052592</v>
          </cell>
        </row>
        <row r="80">
          <cell r="F80" t="str">
            <v>BE</v>
          </cell>
          <cell r="H80">
            <v>132.935282</v>
          </cell>
          <cell r="I80">
            <v>333749.7001216493</v>
          </cell>
          <cell r="L80">
            <v>0.25106179119674893</v>
          </cell>
        </row>
        <row r="81">
          <cell r="AG81" t="str">
            <v>Updated from WDR 2011</v>
          </cell>
        </row>
        <row r="83">
          <cell r="E83" t="str">
            <v>South Africa</v>
          </cell>
          <cell r="F83" t="str">
            <v>South Africa</v>
          </cell>
          <cell r="G83">
            <v>50.132817</v>
          </cell>
          <cell r="H83">
            <v>32.703852</v>
          </cell>
          <cell r="I83">
            <v>163519.26</v>
          </cell>
          <cell r="J83">
            <v>163519.26</v>
          </cell>
          <cell r="K83">
            <v>163519.26</v>
          </cell>
          <cell r="L83">
            <v>0.5</v>
          </cell>
          <cell r="M83">
            <v>2008</v>
          </cell>
          <cell r="N83" t="str">
            <v>15-64</v>
          </cell>
          <cell r="O83" t="str">
            <v>ARQ</v>
          </cell>
          <cell r="S83" t="str">
            <v>Y</v>
          </cell>
          <cell r="T83">
            <v>0.5</v>
          </cell>
          <cell r="U83">
            <v>0.5</v>
          </cell>
        </row>
        <row r="84">
          <cell r="E84" t="str">
            <v>Swaziland</v>
          </cell>
          <cell r="F84" t="str">
            <v>Swaziland</v>
          </cell>
          <cell r="G84">
            <v>1.186056</v>
          </cell>
          <cell r="H84">
            <v>0.69072</v>
          </cell>
          <cell r="I84">
            <v>1174.2240000000002</v>
          </cell>
          <cell r="J84">
            <v>1174.2240000000002</v>
          </cell>
          <cell r="K84">
            <v>1174.2240000000002</v>
          </cell>
          <cell r="L84">
            <v>0.17</v>
          </cell>
          <cell r="M84">
            <v>2004</v>
          </cell>
          <cell r="N84" t="str">
            <v>15-64</v>
          </cell>
          <cell r="O84" t="str">
            <v>Cure Research estimate</v>
          </cell>
          <cell r="R84" t="str">
            <v>Extrapolated data 3 times incidence</v>
          </cell>
          <cell r="S84" t="str">
            <v>Y</v>
          </cell>
          <cell r="T84">
            <v>0.17</v>
          </cell>
          <cell r="U84">
            <v>0.17</v>
          </cell>
        </row>
        <row r="85">
          <cell r="E85" t="str">
            <v>Zambia</v>
          </cell>
          <cell r="F85" t="str">
            <v>Zambia</v>
          </cell>
          <cell r="G85">
            <v>13.088569999999999</v>
          </cell>
          <cell r="H85">
            <v>6.619631999999999</v>
          </cell>
          <cell r="I85">
            <v>24492.6384</v>
          </cell>
          <cell r="J85">
            <v>24492.6384</v>
          </cell>
          <cell r="K85">
            <v>24492.6384</v>
          </cell>
          <cell r="L85">
            <v>0.37</v>
          </cell>
          <cell r="M85">
            <v>2003</v>
          </cell>
          <cell r="N85" t="str">
            <v>15-64</v>
          </cell>
          <cell r="O85" t="str">
            <v>UNODC Estimate</v>
          </cell>
          <cell r="R85" t="str">
            <v>Based on 1.45 LIFETIME 13-30</v>
          </cell>
          <cell r="S85" t="str">
            <v>Y</v>
          </cell>
          <cell r="T85">
            <v>0.37</v>
          </cell>
          <cell r="U85">
            <v>0.37</v>
          </cell>
        </row>
        <row r="86">
          <cell r="E86" t="str">
            <v>Zimbabwe</v>
          </cell>
          <cell r="F86" t="str">
            <v>Zimbabwe</v>
          </cell>
          <cell r="G86">
            <v>12.571454</v>
          </cell>
          <cell r="H86">
            <v>7.156186</v>
          </cell>
          <cell r="I86">
            <v>2862.4744</v>
          </cell>
          <cell r="J86">
            <v>2862.4744</v>
          </cell>
          <cell r="K86">
            <v>2862.4744</v>
          </cell>
          <cell r="L86">
            <v>0.04</v>
          </cell>
          <cell r="M86">
            <v>2004</v>
          </cell>
          <cell r="N86" t="str">
            <v>15-64</v>
          </cell>
          <cell r="O86" t="str">
            <v>Cure Research estimate</v>
          </cell>
          <cell r="R86" t="str">
            <v>Extrapolated data 3 times incidence</v>
          </cell>
          <cell r="S86" t="str">
            <v>Y</v>
          </cell>
          <cell r="T86">
            <v>0.04</v>
          </cell>
          <cell r="U86">
            <v>0.04</v>
          </cell>
        </row>
        <row r="89">
          <cell r="E89" t="str">
            <v>Subtotal I</v>
          </cell>
          <cell r="G89">
            <v>76.978897</v>
          </cell>
          <cell r="H89">
            <v>47.17038999999999</v>
          </cell>
          <cell r="I89">
            <v>192048.5968</v>
          </cell>
          <cell r="J89">
            <v>192048.5968</v>
          </cell>
          <cell r="K89">
            <v>192048.5968</v>
          </cell>
          <cell r="L89">
            <v>0.40713803044664254</v>
          </cell>
        </row>
        <row r="92">
          <cell r="E92" t="str">
            <v>Angola</v>
          </cell>
          <cell r="F92" t="str">
            <v>Angola</v>
          </cell>
          <cell r="G92">
            <v>19.081912</v>
          </cell>
          <cell r="H92">
            <v>9.721776</v>
          </cell>
          <cell r="S92" t="str">
            <v>N</v>
          </cell>
          <cell r="U92">
            <v>0.25</v>
          </cell>
        </row>
        <row r="93">
          <cell r="E93" t="str">
            <v>Botswana</v>
          </cell>
          <cell r="F93" t="str">
            <v>Botswana</v>
          </cell>
          <cell r="G93">
            <v>2.006945</v>
          </cell>
          <cell r="H93">
            <v>1.273395</v>
          </cell>
          <cell r="I93">
            <v>0</v>
          </cell>
          <cell r="J93">
            <v>0</v>
          </cell>
          <cell r="S93" t="str">
            <v>N</v>
          </cell>
        </row>
        <row r="94">
          <cell r="E94" t="str">
            <v>Lesotho</v>
          </cell>
          <cell r="F94" t="str">
            <v>Lesotho</v>
          </cell>
          <cell r="G94">
            <v>2.1713180000000003</v>
          </cell>
          <cell r="H94">
            <v>1.266273</v>
          </cell>
          <cell r="I94">
            <v>0</v>
          </cell>
          <cell r="J94">
            <v>0</v>
          </cell>
          <cell r="S94" t="str">
            <v>N</v>
          </cell>
        </row>
        <row r="95">
          <cell r="E95" t="str">
            <v>Malawi</v>
          </cell>
          <cell r="F95" t="str">
            <v>Malawi</v>
          </cell>
          <cell r="G95">
            <v>14.900841</v>
          </cell>
          <cell r="H95">
            <v>7.612707</v>
          </cell>
          <cell r="I95">
            <v>0</v>
          </cell>
          <cell r="J95">
            <v>0</v>
          </cell>
          <cell r="S95" t="str">
            <v>N</v>
          </cell>
        </row>
        <row r="96">
          <cell r="E96" t="str">
            <v>Mozambique</v>
          </cell>
          <cell r="F96" t="str">
            <v>Mozambique</v>
          </cell>
          <cell r="G96">
            <v>23.390765</v>
          </cell>
          <cell r="H96">
            <v>12.305134</v>
          </cell>
          <cell r="I96">
            <v>0</v>
          </cell>
          <cell r="J96">
            <v>0</v>
          </cell>
          <cell r="S96" t="str">
            <v>N</v>
          </cell>
        </row>
        <row r="97">
          <cell r="E97" t="str">
            <v>Namibia</v>
          </cell>
          <cell r="F97" t="str">
            <v>Namibia</v>
          </cell>
          <cell r="G97">
            <v>2.2832890000000003</v>
          </cell>
          <cell r="H97">
            <v>1.367806</v>
          </cell>
          <cell r="I97">
            <v>0</v>
          </cell>
          <cell r="J97">
            <v>0</v>
          </cell>
          <cell r="S97" t="str">
            <v>N</v>
          </cell>
        </row>
        <row r="99">
          <cell r="E99" t="str">
            <v>Subtotal II</v>
          </cell>
          <cell r="G99">
            <v>63.835069999999995</v>
          </cell>
          <cell r="H99">
            <v>33.547091</v>
          </cell>
          <cell r="I99">
            <v>0</v>
          </cell>
          <cell r="J99">
            <v>0</v>
          </cell>
          <cell r="K99">
            <v>136582.9655695429</v>
          </cell>
        </row>
        <row r="101">
          <cell r="E101" t="str">
            <v>Total S.Africa</v>
          </cell>
          <cell r="F101">
            <v>1</v>
          </cell>
          <cell r="G101">
            <v>140.813967</v>
          </cell>
          <cell r="H101">
            <v>80.71748099999999</v>
          </cell>
          <cell r="I101">
            <v>192048.5968</v>
          </cell>
          <cell r="J101">
            <v>192048.5968</v>
          </cell>
          <cell r="K101">
            <v>328631.5623695429</v>
          </cell>
          <cell r="T101">
            <v>0.07900000000000001</v>
          </cell>
          <cell r="U101">
            <v>0.461</v>
          </cell>
        </row>
        <row r="102">
          <cell r="F102" t="str">
            <v>MIN</v>
          </cell>
          <cell r="H102">
            <v>80.71748099999999</v>
          </cell>
          <cell r="I102">
            <v>218550.79869</v>
          </cell>
          <cell r="L102">
            <v>0.270760182283191</v>
          </cell>
        </row>
        <row r="103">
          <cell r="F103" t="str">
            <v>MAX</v>
          </cell>
          <cell r="H103">
            <v>80.71748099999999</v>
          </cell>
          <cell r="I103">
            <v>346700.68631</v>
          </cell>
          <cell r="L103">
            <v>0.4295236694886453</v>
          </cell>
        </row>
        <row r="104">
          <cell r="F104" t="str">
            <v>BE</v>
          </cell>
          <cell r="H104">
            <v>80.71748099999999</v>
          </cell>
          <cell r="I104">
            <v>328631.5623695429</v>
          </cell>
          <cell r="L104">
            <v>0.40713803044664265</v>
          </cell>
        </row>
        <row r="106">
          <cell r="AG106" t="str">
            <v>Updated from WDR 2011</v>
          </cell>
        </row>
        <row r="108">
          <cell r="G108" t="str">
            <v>Total Pop</v>
          </cell>
          <cell r="H108" t="str">
            <v>Pop 15-64</v>
          </cell>
          <cell r="I108" t="str">
            <v>Usage LCL</v>
          </cell>
          <cell r="J108" t="str">
            <v>Usage UCL</v>
          </cell>
          <cell r="K108" t="str">
            <v>UNODC estimate of drug usage</v>
          </cell>
          <cell r="L108" t="str">
            <v>LYP</v>
          </cell>
          <cell r="M108" t="str">
            <v>Year</v>
          </cell>
          <cell r="N108" t="str">
            <v>Pop</v>
          </cell>
          <cell r="O108" t="str">
            <v>Source</v>
          </cell>
        </row>
        <row r="109">
          <cell r="E109" t="str">
            <v>Cape Verde</v>
          </cell>
          <cell r="F109" t="str">
            <v>Cape Verde</v>
          </cell>
          <cell r="G109">
            <v>0.495999</v>
          </cell>
          <cell r="H109">
            <v>0.30898899999999996</v>
          </cell>
          <cell r="I109">
            <v>556.1802</v>
          </cell>
          <cell r="J109">
            <v>556.1802</v>
          </cell>
          <cell r="K109">
            <v>556.1802</v>
          </cell>
          <cell r="L109">
            <v>0.18</v>
          </cell>
          <cell r="M109">
            <v>2004</v>
          </cell>
          <cell r="N109" t="str">
            <v>15-64</v>
          </cell>
          <cell r="O109" t="str">
            <v>UNODC Estimate</v>
          </cell>
          <cell r="R109" t="str">
            <v>Based on 0.9% 13-15yrs adjusted with Portugal</v>
          </cell>
          <cell r="S109" t="str">
            <v>Y</v>
          </cell>
          <cell r="T109">
            <v>0.18</v>
          </cell>
          <cell r="U109">
            <v>0.18</v>
          </cell>
        </row>
        <row r="110">
          <cell r="E110" t="str">
            <v>Central African Republic</v>
          </cell>
          <cell r="F110" t="str">
            <v>Central African Republic</v>
          </cell>
          <cell r="G110">
            <v>4.401051000000001</v>
          </cell>
          <cell r="H110">
            <v>2.448737</v>
          </cell>
          <cell r="I110">
            <v>1224.3685</v>
          </cell>
          <cell r="J110">
            <v>1224.3685</v>
          </cell>
          <cell r="K110">
            <v>1224.3685</v>
          </cell>
          <cell r="L110">
            <v>0.05</v>
          </cell>
          <cell r="M110">
            <v>2004</v>
          </cell>
          <cell r="N110" t="str">
            <v>15-64</v>
          </cell>
          <cell r="O110" t="str">
            <v>Cure Research estimate</v>
          </cell>
          <cell r="R110" t="str">
            <v>Extrapolated data 3 times incidence</v>
          </cell>
          <cell r="S110" t="str">
            <v>Y</v>
          </cell>
          <cell r="T110">
            <v>0.05</v>
          </cell>
          <cell r="U110">
            <v>0.05</v>
          </cell>
        </row>
        <row r="111">
          <cell r="E111" t="str">
            <v>Chad</v>
          </cell>
          <cell r="F111" t="str">
            <v>Chad</v>
          </cell>
          <cell r="G111">
            <v>11.227208000000001</v>
          </cell>
          <cell r="H111">
            <v>5.802802</v>
          </cell>
          <cell r="I111">
            <v>12766.1644</v>
          </cell>
          <cell r="J111">
            <v>12766.1644</v>
          </cell>
          <cell r="K111">
            <v>12766.1644</v>
          </cell>
          <cell r="L111">
            <v>0.22</v>
          </cell>
          <cell r="M111">
            <v>2004</v>
          </cell>
          <cell r="N111" t="str">
            <v>15-64</v>
          </cell>
          <cell r="O111" t="str">
            <v>Cure Research estimate</v>
          </cell>
          <cell r="R111" t="str">
            <v>Extrapolated data 3 times incidence</v>
          </cell>
          <cell r="S111" t="str">
            <v>Y</v>
          </cell>
          <cell r="T111">
            <v>0.22</v>
          </cell>
          <cell r="U111">
            <v>0.22</v>
          </cell>
        </row>
        <row r="112">
          <cell r="E112" t="str">
            <v>Congo</v>
          </cell>
          <cell r="F112" t="str">
            <v>Congo</v>
          </cell>
          <cell r="G112">
            <v>4.042899</v>
          </cell>
          <cell r="H112">
            <v>2.253611</v>
          </cell>
          <cell r="I112">
            <v>2929.6943</v>
          </cell>
          <cell r="J112">
            <v>2929.6943</v>
          </cell>
          <cell r="K112">
            <v>2929.6943</v>
          </cell>
          <cell r="L112">
            <v>0.13</v>
          </cell>
          <cell r="M112">
            <v>2004</v>
          </cell>
          <cell r="N112" t="str">
            <v>15-64</v>
          </cell>
          <cell r="O112" t="str">
            <v>Cure Research estimate</v>
          </cell>
          <cell r="R112" t="str">
            <v>Extrapolated data 3 times incidence</v>
          </cell>
          <cell r="S112" t="str">
            <v>Y</v>
          </cell>
          <cell r="T112">
            <v>0.13</v>
          </cell>
          <cell r="U112">
            <v>0.13</v>
          </cell>
        </row>
        <row r="113">
          <cell r="E113" t="str">
            <v>Congo (Dem. Rep. of the)</v>
          </cell>
          <cell r="F113" t="str">
            <v>Congo (Dem. Rep. of the)</v>
          </cell>
          <cell r="G113">
            <v>65.965795</v>
          </cell>
          <cell r="H113">
            <v>33.678774</v>
          </cell>
          <cell r="I113">
            <v>57253.9158</v>
          </cell>
          <cell r="J113">
            <v>57253.9158</v>
          </cell>
          <cell r="K113">
            <v>57253.9158</v>
          </cell>
          <cell r="L113">
            <v>0.17</v>
          </cell>
          <cell r="M113">
            <v>2004</v>
          </cell>
          <cell r="N113" t="str">
            <v>15-64</v>
          </cell>
          <cell r="O113" t="str">
            <v>Cure Research estimate</v>
          </cell>
          <cell r="R113" t="str">
            <v>Extrapolated data 3 times incidence</v>
          </cell>
          <cell r="S113" t="str">
            <v>Y</v>
          </cell>
          <cell r="T113">
            <v>0.17</v>
          </cell>
          <cell r="U113">
            <v>0.17</v>
          </cell>
        </row>
        <row r="114">
          <cell r="E114" t="str">
            <v>Ghana</v>
          </cell>
          <cell r="F114" t="str">
            <v>Ghana</v>
          </cell>
          <cell r="G114">
            <v>24.391823</v>
          </cell>
          <cell r="H114">
            <v>14.049806</v>
          </cell>
          <cell r="I114">
            <v>19669.7284</v>
          </cell>
          <cell r="J114">
            <v>19669.7284</v>
          </cell>
          <cell r="K114">
            <v>19669.7284</v>
          </cell>
          <cell r="L114">
            <v>0.14</v>
          </cell>
          <cell r="M114">
            <v>2004</v>
          </cell>
          <cell r="N114" t="str">
            <v>15-65</v>
          </cell>
          <cell r="O114" t="str">
            <v>Cure Research estimate</v>
          </cell>
          <cell r="R114" t="str">
            <v>Extrapolated data 3 times incidence</v>
          </cell>
          <cell r="S114" t="str">
            <v>Y</v>
          </cell>
          <cell r="T114">
            <v>0.14</v>
          </cell>
          <cell r="U114">
            <v>0.14</v>
          </cell>
        </row>
        <row r="115">
          <cell r="E115" t="str">
            <v>Liberia</v>
          </cell>
          <cell r="F115" t="str">
            <v>Liberia</v>
          </cell>
          <cell r="G115">
            <v>3.994122</v>
          </cell>
          <cell r="H115">
            <v>2.145355</v>
          </cell>
          <cell r="I115">
            <v>3647.1035</v>
          </cell>
          <cell r="J115">
            <v>3647.1035</v>
          </cell>
          <cell r="K115">
            <v>3647.1035</v>
          </cell>
          <cell r="L115">
            <v>0.17</v>
          </cell>
          <cell r="M115">
            <v>2004</v>
          </cell>
          <cell r="N115" t="str">
            <v>15-64</v>
          </cell>
          <cell r="O115" t="str">
            <v>Cure Research estimate</v>
          </cell>
          <cell r="R115" t="str">
            <v>Extrapolated data 3 times incidence</v>
          </cell>
          <cell r="S115" t="str">
            <v>Y</v>
          </cell>
          <cell r="T115">
            <v>0.17</v>
          </cell>
          <cell r="U115">
            <v>0.17</v>
          </cell>
        </row>
        <row r="116">
          <cell r="E116" t="str">
            <v>Niger</v>
          </cell>
          <cell r="F116" t="str">
            <v>Niger</v>
          </cell>
          <cell r="G116">
            <v>15.511953</v>
          </cell>
          <cell r="H116">
            <v>7.575562</v>
          </cell>
          <cell r="I116">
            <v>15151.124000000002</v>
          </cell>
          <cell r="J116">
            <v>15151.124000000002</v>
          </cell>
          <cell r="K116">
            <v>15151.124000000002</v>
          </cell>
          <cell r="L116">
            <v>0.2</v>
          </cell>
          <cell r="M116">
            <v>2004</v>
          </cell>
          <cell r="N116" t="str">
            <v>15-64</v>
          </cell>
          <cell r="O116" t="str">
            <v>Reference Group to the UN on HIV and IDU</v>
          </cell>
          <cell r="P116" t="str">
            <v>I</v>
          </cell>
          <cell r="R116" t="str">
            <v>IDUs</v>
          </cell>
          <cell r="S116" t="str">
            <v>Y</v>
          </cell>
          <cell r="T116">
            <v>0.2</v>
          </cell>
          <cell r="U116">
            <v>0.2</v>
          </cell>
        </row>
        <row r="117">
          <cell r="E117" t="str">
            <v>Nigeria</v>
          </cell>
          <cell r="F117" t="str">
            <v>Nigeria</v>
          </cell>
          <cell r="G117">
            <v>158.423182</v>
          </cell>
          <cell r="H117">
            <v>85.21302800000001</v>
          </cell>
          <cell r="I117">
            <v>255639.08399999997</v>
          </cell>
          <cell r="J117">
            <v>852130.28</v>
          </cell>
          <cell r="K117">
            <v>596491.196</v>
          </cell>
          <cell r="L117">
            <v>0.7</v>
          </cell>
          <cell r="M117">
            <v>2008</v>
          </cell>
          <cell r="N117" t="str">
            <v>15-64</v>
          </cell>
          <cell r="O117" t="str">
            <v>UNODC Estimate</v>
          </cell>
          <cell r="S117" t="str">
            <v>Y</v>
          </cell>
          <cell r="T117">
            <v>0.3</v>
          </cell>
          <cell r="U117">
            <v>1</v>
          </cell>
        </row>
        <row r="118">
          <cell r="E118" t="str">
            <v>Senegal</v>
          </cell>
          <cell r="F118" t="str">
            <v>Senegal</v>
          </cell>
          <cell r="G118">
            <v>12.433727999999999</v>
          </cell>
          <cell r="H118">
            <v>6.702623</v>
          </cell>
          <cell r="I118">
            <v>5362.0984</v>
          </cell>
          <cell r="J118">
            <v>5362.0984</v>
          </cell>
          <cell r="K118">
            <v>5362.0984</v>
          </cell>
          <cell r="L118">
            <v>0.08</v>
          </cell>
          <cell r="M118">
            <v>2006</v>
          </cell>
          <cell r="N118" t="str">
            <v>15-64</v>
          </cell>
          <cell r="O118" t="str">
            <v>UNODC Estimate</v>
          </cell>
          <cell r="P118" t="str">
            <v>SS</v>
          </cell>
          <cell r="Q118" t="str">
            <v>a, d, e </v>
          </cell>
          <cell r="R118" t="str">
            <v>Extrapolated from 1% other drugs LTP 11-17 yrs in Dakar of which 1/3 is heroin - using data for France for comparison</v>
          </cell>
          <cell r="S118" t="str">
            <v>Y</v>
          </cell>
          <cell r="T118">
            <v>0.08</v>
          </cell>
          <cell r="U118">
            <v>0.08</v>
          </cell>
        </row>
        <row r="119">
          <cell r="E119" t="str">
            <v>Sierra Leone</v>
          </cell>
          <cell r="F119" t="str">
            <v>Sierra Leone</v>
          </cell>
          <cell r="G119">
            <v>5.867536</v>
          </cell>
          <cell r="H119">
            <v>3.233799</v>
          </cell>
          <cell r="I119">
            <v>5497.458300000001</v>
          </cell>
          <cell r="J119">
            <v>5497.458300000001</v>
          </cell>
          <cell r="K119">
            <v>5497.458300000001</v>
          </cell>
          <cell r="L119">
            <v>0.17</v>
          </cell>
          <cell r="M119">
            <v>2004</v>
          </cell>
          <cell r="N119" t="str">
            <v>15-64</v>
          </cell>
          <cell r="O119" t="str">
            <v>Cure Research estimate</v>
          </cell>
          <cell r="R119" t="str">
            <v>Extrapolated data 3 times incidence</v>
          </cell>
          <cell r="S119" t="str">
            <v>Y</v>
          </cell>
          <cell r="T119">
            <v>0.17</v>
          </cell>
          <cell r="U119">
            <v>0.17</v>
          </cell>
        </row>
        <row r="123">
          <cell r="E123" t="str">
            <v>Subtotal I</v>
          </cell>
          <cell r="G123">
            <v>306.75529599999993</v>
          </cell>
          <cell r="H123">
            <v>163.413086</v>
          </cell>
          <cell r="I123">
            <v>379696.9198</v>
          </cell>
          <cell r="J123">
            <v>976188.1158000001</v>
          </cell>
          <cell r="K123">
            <v>720549.0318000001</v>
          </cell>
          <cell r="L123">
            <v>0.44093716692921403</v>
          </cell>
        </row>
        <row r="126">
          <cell r="E126" t="str">
            <v>Benin</v>
          </cell>
          <cell r="F126" t="str">
            <v>Benin</v>
          </cell>
          <cell r="G126">
            <v>8.849892</v>
          </cell>
          <cell r="H126">
            <v>4.714055</v>
          </cell>
          <cell r="I126">
            <v>0</v>
          </cell>
          <cell r="J126">
            <v>0</v>
          </cell>
          <cell r="S126" t="str">
            <v>N</v>
          </cell>
        </row>
        <row r="127">
          <cell r="E127" t="str">
            <v>Burkina Faso</v>
          </cell>
          <cell r="F127" t="str">
            <v>Burkina Faso</v>
          </cell>
          <cell r="G127">
            <v>16.468714</v>
          </cell>
          <cell r="H127">
            <v>8.637392</v>
          </cell>
          <cell r="I127">
            <v>0</v>
          </cell>
          <cell r="J127">
            <v>0</v>
          </cell>
          <cell r="S127" t="str">
            <v>N</v>
          </cell>
        </row>
        <row r="128">
          <cell r="E128" t="str">
            <v>Cameroon</v>
          </cell>
          <cell r="F128" t="str">
            <v>Cameroon</v>
          </cell>
          <cell r="G128">
            <v>19.598889</v>
          </cell>
          <cell r="H128">
            <v>10.957269</v>
          </cell>
          <cell r="I128">
            <v>0</v>
          </cell>
          <cell r="J128">
            <v>0</v>
          </cell>
          <cell r="S128" t="str">
            <v>N</v>
          </cell>
        </row>
        <row r="129">
          <cell r="E129" t="str">
            <v>Côte d'Ivoire</v>
          </cell>
          <cell r="F129" t="str">
            <v>Côte d'Ivoire</v>
          </cell>
          <cell r="G129">
            <v>19.7378</v>
          </cell>
          <cell r="H129">
            <v>10.910564</v>
          </cell>
          <cell r="I129">
            <v>0</v>
          </cell>
          <cell r="J129">
            <v>0</v>
          </cell>
          <cell r="S129" t="str">
            <v>N</v>
          </cell>
        </row>
        <row r="130">
          <cell r="E130" t="str">
            <v>Equatorial Guinea</v>
          </cell>
          <cell r="F130" t="str">
            <v>Equatorial Guinea</v>
          </cell>
          <cell r="G130">
            <v>0.7004009999999999</v>
          </cell>
          <cell r="H130">
            <v>0.40519099999999997</v>
          </cell>
          <cell r="I130">
            <v>0</v>
          </cell>
          <cell r="J130">
            <v>0</v>
          </cell>
          <cell r="S130" t="str">
            <v>N</v>
          </cell>
        </row>
        <row r="131">
          <cell r="E131" t="str">
            <v>Gabon</v>
          </cell>
          <cell r="F131" t="str">
            <v>Gabon</v>
          </cell>
          <cell r="G131">
            <v>1.505463</v>
          </cell>
          <cell r="H131">
            <v>0.906233</v>
          </cell>
          <cell r="I131">
            <v>0</v>
          </cell>
          <cell r="J131">
            <v>0</v>
          </cell>
          <cell r="S131" t="str">
            <v>N</v>
          </cell>
        </row>
        <row r="132">
          <cell r="E132" t="str">
            <v>Gambia</v>
          </cell>
          <cell r="F132" t="str">
            <v>Gambia</v>
          </cell>
          <cell r="G132">
            <v>1.728394</v>
          </cell>
          <cell r="H132">
            <v>0.930704</v>
          </cell>
          <cell r="I132">
            <v>0</v>
          </cell>
          <cell r="J132">
            <v>0</v>
          </cell>
          <cell r="S132" t="str">
            <v>N</v>
          </cell>
        </row>
        <row r="133">
          <cell r="E133" t="str">
            <v>Guinea</v>
          </cell>
          <cell r="F133" t="str">
            <v>Guinea</v>
          </cell>
          <cell r="G133">
            <v>9.98159</v>
          </cell>
          <cell r="H133">
            <v>5.367081</v>
          </cell>
          <cell r="I133">
            <v>0</v>
          </cell>
          <cell r="J133">
            <v>0</v>
          </cell>
          <cell r="S133" t="str">
            <v>N</v>
          </cell>
        </row>
        <row r="134">
          <cell r="E134" t="str">
            <v>Guinea-Bissau</v>
          </cell>
          <cell r="F134" t="str">
            <v>Guinea-Bissau</v>
          </cell>
          <cell r="G134">
            <v>1.515224</v>
          </cell>
          <cell r="H134">
            <v>0.83884</v>
          </cell>
          <cell r="I134">
            <v>0</v>
          </cell>
          <cell r="J134">
            <v>0</v>
          </cell>
          <cell r="S134" t="str">
            <v>N</v>
          </cell>
        </row>
        <row r="135">
          <cell r="E135" t="str">
            <v>Mali</v>
          </cell>
          <cell r="F135" t="str">
            <v>Mali</v>
          </cell>
          <cell r="G135">
            <v>15.369809</v>
          </cell>
          <cell r="H135">
            <v>7.783828000000001</v>
          </cell>
          <cell r="I135">
            <v>0</v>
          </cell>
          <cell r="J135">
            <v>0</v>
          </cell>
          <cell r="S135" t="str">
            <v>N</v>
          </cell>
        </row>
        <row r="136">
          <cell r="E136" t="str">
            <v>Mauritania</v>
          </cell>
          <cell r="F136" t="str">
            <v>Mauritania</v>
          </cell>
          <cell r="G136">
            <v>3.459773</v>
          </cell>
          <cell r="H136">
            <v>1.9866700000000002</v>
          </cell>
          <cell r="I136">
            <v>0</v>
          </cell>
          <cell r="J136">
            <v>0</v>
          </cell>
          <cell r="S136" t="str">
            <v>N</v>
          </cell>
        </row>
        <row r="137">
          <cell r="E137" t="str">
            <v>Saint Helena</v>
          </cell>
          <cell r="F137" t="str">
            <v>Saint Helena</v>
          </cell>
          <cell r="G137">
            <v>0.004118</v>
          </cell>
          <cell r="H137">
            <v>0.0028826</v>
          </cell>
          <cell r="I137">
            <v>0</v>
          </cell>
          <cell r="J137">
            <v>0</v>
          </cell>
          <cell r="S137" t="str">
            <v>N</v>
          </cell>
        </row>
        <row r="138">
          <cell r="E138" t="str">
            <v>Sao Tome and Principe</v>
          </cell>
          <cell r="F138" t="str">
            <v>Sao Tome and Principe</v>
          </cell>
          <cell r="G138">
            <v>0.165397</v>
          </cell>
          <cell r="H138">
            <v>0.092308</v>
          </cell>
          <cell r="I138">
            <v>0</v>
          </cell>
          <cell r="J138">
            <v>0</v>
          </cell>
          <cell r="S138" t="str">
            <v>N</v>
          </cell>
        </row>
        <row r="139">
          <cell r="E139" t="str">
            <v>Togo</v>
          </cell>
          <cell r="F139" t="str">
            <v>Togo</v>
          </cell>
          <cell r="G139">
            <v>6.027798</v>
          </cell>
          <cell r="H139">
            <v>3.432677</v>
          </cell>
          <cell r="I139">
            <v>0</v>
          </cell>
          <cell r="J139">
            <v>0</v>
          </cell>
          <cell r="S139" t="str">
            <v>N</v>
          </cell>
        </row>
        <row r="143">
          <cell r="E143" t="str">
            <v>Subtotal II</v>
          </cell>
          <cell r="G143">
            <v>105.113262</v>
          </cell>
          <cell r="H143">
            <v>56.9656946</v>
          </cell>
          <cell r="I143">
            <v>0</v>
          </cell>
          <cell r="J143">
            <v>0</v>
          </cell>
          <cell r="K143">
            <v>251182.91989078827</v>
          </cell>
        </row>
        <row r="145">
          <cell r="E145" t="str">
            <v>W.&amp; C.Africa</v>
          </cell>
          <cell r="F145">
            <v>1</v>
          </cell>
          <cell r="G145">
            <v>411.86855799999995</v>
          </cell>
          <cell r="H145">
            <v>220.3787806</v>
          </cell>
          <cell r="I145">
            <v>379696.9198</v>
          </cell>
          <cell r="J145">
            <v>976188.1158000001</v>
          </cell>
          <cell r="K145">
            <v>971731.9516907884</v>
          </cell>
          <cell r="T145">
            <v>0.08</v>
          </cell>
          <cell r="U145">
            <v>0.22</v>
          </cell>
        </row>
        <row r="146">
          <cell r="F146" t="str">
            <v>MIN</v>
          </cell>
          <cell r="H146">
            <v>220.3787806</v>
          </cell>
          <cell r="I146">
            <v>425269.47547999996</v>
          </cell>
          <cell r="L146">
            <v>0.1929720612493488</v>
          </cell>
        </row>
        <row r="147">
          <cell r="F147" t="str">
            <v>MAX</v>
          </cell>
          <cell r="H147">
            <v>220.3787806</v>
          </cell>
          <cell r="I147">
            <v>1101512.6439200002</v>
          </cell>
          <cell r="L147">
            <v>0.49982699828043253</v>
          </cell>
        </row>
        <row r="148">
          <cell r="F148" t="str">
            <v>BE</v>
          </cell>
          <cell r="H148">
            <v>220.3787806</v>
          </cell>
          <cell r="I148">
            <v>971731.9516907884</v>
          </cell>
          <cell r="L148">
            <v>0.44093716692921403</v>
          </cell>
        </row>
        <row r="150">
          <cell r="E150" t="str">
            <v>Africa I (Subregion- MIN)</v>
          </cell>
          <cell r="G150">
            <v>1021.4997859999999</v>
          </cell>
          <cell r="H150">
            <v>574.06491138</v>
          </cell>
          <cell r="I150">
            <v>928340.1242408</v>
          </cell>
          <cell r="K150">
            <v>0.09088010951779095</v>
          </cell>
          <cell r="L150">
            <v>0.16171344143106647</v>
          </cell>
        </row>
        <row r="151">
          <cell r="E151" t="str">
            <v>Africa I (Subregion- MAX)</v>
          </cell>
          <cell r="G151">
            <v>1021.4997859999999</v>
          </cell>
          <cell r="H151">
            <v>574.06491138</v>
          </cell>
          <cell r="I151">
            <v>3839320.8073919998</v>
          </cell>
          <cell r="K151">
            <v>0.37585135699597694</v>
          </cell>
          <cell r="L151">
            <v>0.6687955893633388</v>
          </cell>
        </row>
        <row r="152">
          <cell r="E152" t="str">
            <v>Africa II (No Subregion, w/ Values)</v>
          </cell>
        </row>
        <row r="153">
          <cell r="E153" t="str">
            <v>Africa II (No Subregion)</v>
          </cell>
        </row>
        <row r="154">
          <cell r="E154" t="str">
            <v>Total Africa</v>
          </cell>
          <cell r="G154">
            <v>1021.4997859999999</v>
          </cell>
          <cell r="H154">
            <v>574.06491138</v>
          </cell>
          <cell r="T154">
            <v>0.05</v>
          </cell>
          <cell r="U154">
            <v>0.8920000000000003</v>
          </cell>
        </row>
        <row r="155">
          <cell r="F155" t="str">
            <v>MIN</v>
          </cell>
          <cell r="H155">
            <v>574.06491138</v>
          </cell>
          <cell r="I155">
            <v>928340.1242408</v>
          </cell>
          <cell r="L155">
            <v>0.16171344143106647</v>
          </cell>
        </row>
        <row r="156">
          <cell r="F156" t="str">
            <v>MAX</v>
          </cell>
          <cell r="H156">
            <v>574.06491138</v>
          </cell>
          <cell r="I156">
            <v>3839320.8073919998</v>
          </cell>
          <cell r="L156">
            <v>0.6687955893633388</v>
          </cell>
        </row>
        <row r="157">
          <cell r="F157" t="str">
            <v>BE</v>
          </cell>
          <cell r="H157">
            <v>574.06491138</v>
          </cell>
          <cell r="I157">
            <v>2204002.794045426</v>
          </cell>
          <cell r="L157">
            <v>0.38392919517536844</v>
          </cell>
        </row>
        <row r="160">
          <cell r="AG160" t="str">
            <v>Updated from WDR 2011</v>
          </cell>
        </row>
        <row r="163">
          <cell r="E163" t="str">
            <v>Belize</v>
          </cell>
          <cell r="F163" t="str">
            <v>Belize</v>
          </cell>
          <cell r="G163">
            <v>0.311627</v>
          </cell>
          <cell r="H163">
            <v>0.19009700000000002</v>
          </cell>
          <cell r="I163">
            <v>570.2909999999999</v>
          </cell>
          <cell r="J163">
            <v>570.2909999999999</v>
          </cell>
          <cell r="K163">
            <v>570.2909999999999</v>
          </cell>
          <cell r="L163">
            <v>0.3</v>
          </cell>
          <cell r="M163">
            <v>2005</v>
          </cell>
          <cell r="N163" t="str">
            <v>12-65</v>
          </cell>
          <cell r="O163" t="str">
            <v>CICAD/MEM</v>
          </cell>
          <cell r="P163" t="str">
            <v>HHS</v>
          </cell>
          <cell r="S163" t="str">
            <v>Y</v>
          </cell>
          <cell r="T163">
            <v>0.3</v>
          </cell>
          <cell r="U163">
            <v>0.3</v>
          </cell>
        </row>
        <row r="164">
          <cell r="E164" t="str">
            <v>Costa Rica</v>
          </cell>
          <cell r="F164" t="str">
            <v>Costa Rica</v>
          </cell>
          <cell r="G164">
            <v>4.658887</v>
          </cell>
          <cell r="H164">
            <v>3.1945949999999996</v>
          </cell>
          <cell r="I164">
            <v>89448.66</v>
          </cell>
          <cell r="J164">
            <v>92643.255</v>
          </cell>
          <cell r="K164">
            <v>89448.66</v>
          </cell>
          <cell r="L164">
            <v>2.8</v>
          </cell>
          <cell r="M164">
            <v>2006</v>
          </cell>
          <cell r="N164" t="str">
            <v>12-70</v>
          </cell>
          <cell r="O164" t="str">
            <v>ARQ</v>
          </cell>
          <cell r="P164" t="str">
            <v>HHS</v>
          </cell>
          <cell r="S164" t="str">
            <v>Y</v>
          </cell>
          <cell r="T164">
            <v>2.8</v>
          </cell>
          <cell r="U164">
            <v>2.9</v>
          </cell>
          <cell r="AG164">
            <v>0</v>
          </cell>
        </row>
        <row r="165">
          <cell r="E165" t="str">
            <v>El Salvador</v>
          </cell>
          <cell r="F165" t="str">
            <v>El Salvador</v>
          </cell>
          <cell r="G165">
            <v>6.192993</v>
          </cell>
          <cell r="H165">
            <v>3.7801590000000003</v>
          </cell>
          <cell r="I165">
            <v>5292.2226</v>
          </cell>
          <cell r="J165">
            <v>5292.2226</v>
          </cell>
          <cell r="K165">
            <v>5292.2226</v>
          </cell>
          <cell r="L165">
            <v>0.14</v>
          </cell>
          <cell r="M165">
            <v>2005</v>
          </cell>
          <cell r="N165" t="str">
            <v>15-64</v>
          </cell>
          <cell r="O165" t="str">
            <v>UNODC Estimate</v>
          </cell>
          <cell r="P165" t="str">
            <v>HHS</v>
          </cell>
          <cell r="Q165" t="str">
            <v>e</v>
          </cell>
          <cell r="R165" t="str">
            <v>Based on lifetime HHS 0.9% heroin, .18% opium, morphine .09%;  adjusted USA rations for annual</v>
          </cell>
          <cell r="S165" t="str">
            <v>Y</v>
          </cell>
          <cell r="T165">
            <v>0.14</v>
          </cell>
          <cell r="U165">
            <v>0.14</v>
          </cell>
          <cell r="AG165">
            <v>0</v>
          </cell>
        </row>
        <row r="166">
          <cell r="E166" t="str">
            <v>Guatemala</v>
          </cell>
          <cell r="F166" t="str">
            <v>Guatemala</v>
          </cell>
          <cell r="G166">
            <v>14.388929000000001</v>
          </cell>
          <cell r="H166">
            <v>7.797099</v>
          </cell>
          <cell r="I166">
            <v>3118.8396000000002</v>
          </cell>
          <cell r="J166">
            <v>3118.8396000000002</v>
          </cell>
          <cell r="K166">
            <v>3118.8396000000002</v>
          </cell>
          <cell r="L166">
            <v>0.04</v>
          </cell>
          <cell r="M166">
            <v>2005</v>
          </cell>
          <cell r="N166" t="str">
            <v>15-65</v>
          </cell>
          <cell r="O166" t="str">
            <v>ARQ</v>
          </cell>
          <cell r="S166" t="str">
            <v>Y</v>
          </cell>
          <cell r="T166">
            <v>0.04</v>
          </cell>
          <cell r="U166">
            <v>0.04</v>
          </cell>
        </row>
        <row r="167">
          <cell r="E167" t="str">
            <v>Honduras</v>
          </cell>
          <cell r="F167" t="str">
            <v>Honduras</v>
          </cell>
          <cell r="G167">
            <v>7.600524</v>
          </cell>
          <cell r="H167">
            <v>4.479107</v>
          </cell>
          <cell r="I167">
            <v>6718.660499999999</v>
          </cell>
          <cell r="J167">
            <v>6718.660499999999</v>
          </cell>
          <cell r="K167">
            <v>6718.660499999999</v>
          </cell>
          <cell r="L167">
            <v>0.15</v>
          </cell>
          <cell r="M167">
            <v>2005</v>
          </cell>
          <cell r="N167" t="str">
            <v>15-64</v>
          </cell>
          <cell r="O167" t="str">
            <v>UNODC Estimate</v>
          </cell>
          <cell r="P167" t="str">
            <v>HHS</v>
          </cell>
          <cell r="Q167" t="str">
            <v>e</v>
          </cell>
          <cell r="R167" t="str">
            <v>based on lifetime heroin .18% and .06% opium; adjusted via USA ratios </v>
          </cell>
          <cell r="S167" t="str">
            <v>Y</v>
          </cell>
          <cell r="T167">
            <v>0.15</v>
          </cell>
          <cell r="U167">
            <v>0.15</v>
          </cell>
        </row>
        <row r="168">
          <cell r="E168" t="str">
            <v>Nicaragua</v>
          </cell>
          <cell r="F168" t="str">
            <v>Nicaragua</v>
          </cell>
          <cell r="G168">
            <v>5.788163</v>
          </cell>
          <cell r="H168">
            <v>3.5263359999999997</v>
          </cell>
          <cell r="I168">
            <v>705.2672</v>
          </cell>
          <cell r="J168">
            <v>705.2672</v>
          </cell>
          <cell r="K168">
            <v>705.2672</v>
          </cell>
          <cell r="L168">
            <v>0.02</v>
          </cell>
          <cell r="M168">
            <v>2006</v>
          </cell>
          <cell r="N168" t="str">
            <v>12-65</v>
          </cell>
          <cell r="O168" t="str">
            <v>CICAD/MEM</v>
          </cell>
          <cell r="P168" t="str">
            <v>HHS</v>
          </cell>
          <cell r="S168" t="str">
            <v>Y</v>
          </cell>
          <cell r="T168">
            <v>0.02</v>
          </cell>
          <cell r="U168">
            <v>0.02</v>
          </cell>
        </row>
        <row r="171">
          <cell r="E171" t="str">
            <v>Subtotal I</v>
          </cell>
          <cell r="G171">
            <v>38.941123</v>
          </cell>
          <cell r="H171">
            <v>22.967393</v>
          </cell>
          <cell r="I171">
            <v>104578.3827</v>
          </cell>
          <cell r="J171">
            <v>109048.5359</v>
          </cell>
          <cell r="K171">
            <v>105853.9409</v>
          </cell>
          <cell r="L171">
            <v>0.46088792445881865</v>
          </cell>
          <cell r="S171" t="str">
            <v>N</v>
          </cell>
        </row>
        <row r="173">
          <cell r="E173" t="str">
            <v>Panama</v>
          </cell>
          <cell r="F173" t="str">
            <v>Panama</v>
          </cell>
          <cell r="G173">
            <v>3.51682</v>
          </cell>
          <cell r="H173">
            <v>2.2667640000000002</v>
          </cell>
          <cell r="I173">
            <v>0</v>
          </cell>
          <cell r="J173">
            <v>0</v>
          </cell>
          <cell r="S173" t="str">
            <v>N</v>
          </cell>
        </row>
        <row r="176">
          <cell r="E176" t="str">
            <v>Subtotal II</v>
          </cell>
          <cell r="G176">
            <v>3.51682</v>
          </cell>
          <cell r="H176">
            <v>2.2667640000000002</v>
          </cell>
          <cell r="I176">
            <v>0</v>
          </cell>
          <cell r="J176">
            <v>0</v>
          </cell>
          <cell r="K176">
            <v>10447.241551979696</v>
          </cell>
        </row>
        <row r="178">
          <cell r="E178" t="str">
            <v>Total C.Amer</v>
          </cell>
          <cell r="F178">
            <v>1</v>
          </cell>
          <cell r="G178">
            <v>42.457943</v>
          </cell>
          <cell r="H178">
            <v>25.234157000000003</v>
          </cell>
          <cell r="I178">
            <v>104578.3827</v>
          </cell>
          <cell r="J178">
            <v>109048.5359</v>
          </cell>
          <cell r="K178">
            <v>116301.1824519797</v>
          </cell>
          <cell r="T178">
            <v>0.03</v>
          </cell>
          <cell r="U178">
            <v>1.6</v>
          </cell>
        </row>
        <row r="179">
          <cell r="F179" t="str">
            <v>MIN</v>
          </cell>
          <cell r="H179">
            <v>25.234157000000003</v>
          </cell>
          <cell r="I179">
            <v>105258.4119</v>
          </cell>
          <cell r="L179">
            <v>0.41712672192695005</v>
          </cell>
        </row>
        <row r="180">
          <cell r="F180" t="str">
            <v>MAX</v>
          </cell>
          <cell r="H180">
            <v>25.234157000000003</v>
          </cell>
          <cell r="I180">
            <v>145316.7599</v>
          </cell>
          <cell r="L180">
            <v>0.5758732495006669</v>
          </cell>
        </row>
        <row r="181">
          <cell r="F181" t="str">
            <v>BE</v>
          </cell>
          <cell r="H181">
            <v>25.234157000000003</v>
          </cell>
          <cell r="I181">
            <v>116301.1824519797</v>
          </cell>
          <cell r="L181">
            <v>0.46088792445881854</v>
          </cell>
        </row>
        <row r="182">
          <cell r="AG182" t="str">
            <v>Updated from WDR 2011</v>
          </cell>
        </row>
        <row r="184">
          <cell r="V184" t="str">
            <v>BE</v>
          </cell>
          <cell r="W184" t="str">
            <v>Max</v>
          </cell>
          <cell r="X184" t="str">
            <v>Min</v>
          </cell>
          <cell r="Y184" t="str">
            <v>Opium</v>
          </cell>
          <cell r="Z184" t="str">
            <v>Prescription opioids</v>
          </cell>
          <cell r="AA184" t="str">
            <v>Heroin</v>
          </cell>
          <cell r="AB184" t="str">
            <v>Heroin</v>
          </cell>
          <cell r="AC184" t="str">
            <v>Opioids</v>
          </cell>
          <cell r="AD184" t="str">
            <v>Prescription opioids</v>
          </cell>
          <cell r="AE184" t="str">
            <v>ProblemUsers</v>
          </cell>
          <cell r="AF184" t="str">
            <v>IDU</v>
          </cell>
        </row>
        <row r="185">
          <cell r="E185" t="str">
            <v>Canada</v>
          </cell>
          <cell r="F185" t="str">
            <v>Canada</v>
          </cell>
          <cell r="G185">
            <v>34.016593</v>
          </cell>
          <cell r="H185">
            <v>23.630141</v>
          </cell>
          <cell r="I185">
            <v>70890.423</v>
          </cell>
          <cell r="J185">
            <v>70890.423</v>
          </cell>
          <cell r="K185">
            <v>70890.423</v>
          </cell>
          <cell r="L185">
            <v>0.3</v>
          </cell>
          <cell r="M185">
            <v>2010</v>
          </cell>
          <cell r="N185" t="str">
            <v>15-64</v>
          </cell>
          <cell r="O185" t="str">
            <v>ARQ</v>
          </cell>
          <cell r="P185" t="str">
            <v>HHS</v>
          </cell>
          <cell r="R185" t="str">
            <v>According to the Government of Canada, data on heroin use based on the household survey is not reportable and the Government of Canada does not report an estimate based on indirect methods</v>
          </cell>
          <cell r="S185" t="str">
            <v>Y</v>
          </cell>
          <cell r="T185">
            <v>0.3</v>
          </cell>
          <cell r="U185">
            <v>0.3</v>
          </cell>
          <cell r="AG185">
            <v>0</v>
          </cell>
        </row>
        <row r="186">
          <cell r="E186" t="str">
            <v>Mexico</v>
          </cell>
          <cell r="F186" t="str">
            <v>Mexico</v>
          </cell>
          <cell r="G186">
            <v>113.42304700000001</v>
          </cell>
          <cell r="H186">
            <v>73.214865</v>
          </cell>
          <cell r="I186">
            <v>805363.515</v>
          </cell>
          <cell r="J186">
            <v>834649.4609999999</v>
          </cell>
          <cell r="K186">
            <v>820006.4880000001</v>
          </cell>
          <cell r="L186">
            <v>1.12</v>
          </cell>
          <cell r="M186">
            <v>2011</v>
          </cell>
          <cell r="N186" t="str">
            <v>15-64</v>
          </cell>
          <cell r="O186" t="str">
            <v>Government source</v>
          </cell>
          <cell r="P186" t="str">
            <v>HHS</v>
          </cell>
          <cell r="R186" t="str">
            <v>Based on 1.1% prescription opioids and 0.04% heroin use</v>
          </cell>
          <cell r="S186" t="str">
            <v>Y</v>
          </cell>
          <cell r="T186">
            <v>1.1</v>
          </cell>
          <cell r="U186">
            <v>1.14</v>
          </cell>
          <cell r="V186">
            <v>0</v>
          </cell>
          <cell r="W186">
            <v>0</v>
          </cell>
          <cell r="X186">
            <v>0</v>
          </cell>
          <cell r="Y186" t="str">
            <v/>
          </cell>
          <cell r="Z186" t="str">
            <v/>
          </cell>
          <cell r="AA186" t="str">
            <v/>
          </cell>
          <cell r="AB186" t="str">
            <v/>
          </cell>
          <cell r="AC186" t="str">
            <v/>
          </cell>
          <cell r="AD186" t="str">
            <v/>
          </cell>
          <cell r="AG186">
            <v>0</v>
          </cell>
        </row>
        <row r="187">
          <cell r="E187" t="str">
            <v>United States of America</v>
          </cell>
          <cell r="F187" t="str">
            <v>United States of America</v>
          </cell>
          <cell r="G187">
            <v>310.383948</v>
          </cell>
          <cell r="H187">
            <v>207.53358</v>
          </cell>
          <cell r="I187">
            <v>11462080.005574498</v>
          </cell>
          <cell r="J187">
            <v>12645021.411574498</v>
          </cell>
          <cell r="K187">
            <v>12053550.708574498</v>
          </cell>
          <cell r="L187">
            <v>5.808000184150679</v>
          </cell>
          <cell r="M187">
            <v>2010</v>
          </cell>
          <cell r="N187" t="str">
            <v>15-64</v>
          </cell>
          <cell r="O187" t="str">
            <v>Government source</v>
          </cell>
          <cell r="P187" t="str">
            <v>HHS, x</v>
          </cell>
          <cell r="Q187" t="str">
            <v>a</v>
          </cell>
          <cell r="R187" t="str">
            <v>Includes heroin and non medical use of prescription pain relievers</v>
          </cell>
          <cell r="S187" t="str">
            <v>Y</v>
          </cell>
          <cell r="T187">
            <v>5.523000184150679</v>
          </cell>
          <cell r="U187">
            <v>6.09300018415068</v>
          </cell>
          <cell r="V187">
            <v>5.808000184150679</v>
          </cell>
          <cell r="W187">
            <v>6.09300018415068</v>
          </cell>
          <cell r="X187">
            <v>5.523000184150679</v>
          </cell>
          <cell r="Y187" t="str">
            <v/>
          </cell>
          <cell r="Z187">
            <v>5.523000184150679</v>
          </cell>
          <cell r="AA187">
            <v>0.3</v>
          </cell>
          <cell r="AB187" t="str">
            <v/>
          </cell>
          <cell r="AC187" t="str">
            <v/>
          </cell>
          <cell r="AD187" t="str">
            <v/>
          </cell>
          <cell r="AG187">
            <v>1</v>
          </cell>
        </row>
        <row r="189">
          <cell r="E189" t="str">
            <v>Subtotal I</v>
          </cell>
          <cell r="G189">
            <v>457.823588</v>
          </cell>
          <cell r="H189">
            <v>304.378586</v>
          </cell>
          <cell r="I189">
            <v>12338333.943574497</v>
          </cell>
          <cell r="J189">
            <v>13550561.295574497</v>
          </cell>
          <cell r="K189">
            <v>12944447.619574498</v>
          </cell>
          <cell r="L189">
            <v>4.252745828701135</v>
          </cell>
        </row>
        <row r="192">
          <cell r="E192" t="str">
            <v>Saint Pierre and Miquelon</v>
          </cell>
          <cell r="F192" t="str">
            <v>Saint Pierre and Miquelon</v>
          </cell>
          <cell r="G192">
            <v>0.006046</v>
          </cell>
          <cell r="H192">
            <v>0.004056865999999999</v>
          </cell>
          <cell r="I192">
            <v>0</v>
          </cell>
          <cell r="J192">
            <v>0</v>
          </cell>
          <cell r="S192" t="str">
            <v>N</v>
          </cell>
        </row>
        <row r="194">
          <cell r="E194" t="str">
            <v>Subtotal II</v>
          </cell>
          <cell r="G194">
            <v>0.006046</v>
          </cell>
          <cell r="H194">
            <v>0.004056865999999999</v>
          </cell>
          <cell r="I194">
            <v>0</v>
          </cell>
          <cell r="J194">
            <v>0</v>
          </cell>
          <cell r="K194">
            <v>172.5281995909946</v>
          </cell>
        </row>
        <row r="196">
          <cell r="E196" t="str">
            <v>Total N.Amer.</v>
          </cell>
          <cell r="F196">
            <v>1</v>
          </cell>
          <cell r="G196">
            <v>457.829634</v>
          </cell>
          <cell r="H196">
            <v>304.38264286599997</v>
          </cell>
          <cell r="I196">
            <v>12338333.943574497</v>
          </cell>
          <cell r="J196">
            <v>13550561.295574497</v>
          </cell>
          <cell r="K196">
            <v>12944620.14777409</v>
          </cell>
        </row>
        <row r="197">
          <cell r="F197" t="str">
            <v>MIN</v>
          </cell>
          <cell r="H197">
            <v>304.38264286599997</v>
          </cell>
          <cell r="I197">
            <v>12338352.605158098</v>
          </cell>
          <cell r="L197">
            <v>4.053566421850761</v>
          </cell>
          <cell r="T197">
            <v>0.45999999999999996</v>
          </cell>
          <cell r="U197">
            <v>5.102400147320543</v>
          </cell>
        </row>
        <row r="198">
          <cell r="F198" t="str">
            <v>MAX</v>
          </cell>
          <cell r="H198">
            <v>304.38264286599997</v>
          </cell>
          <cell r="I198">
            <v>13550768.293111257</v>
          </cell>
          <cell r="L198">
            <v>4.45188600950442</v>
          </cell>
        </row>
        <row r="199">
          <cell r="F199" t="str">
            <v>BE</v>
          </cell>
          <cell r="H199">
            <v>304.38264286599997</v>
          </cell>
          <cell r="I199">
            <v>12944620.14777409</v>
          </cell>
          <cell r="L199">
            <v>4.252745828701135</v>
          </cell>
        </row>
        <row r="201">
          <cell r="AG201" t="str">
            <v>Updated from WDR 2011</v>
          </cell>
        </row>
        <row r="202">
          <cell r="V202" t="str">
            <v>min</v>
          </cell>
          <cell r="W202" t="str">
            <v>max</v>
          </cell>
          <cell r="X202" t="str">
            <v>BE</v>
          </cell>
        </row>
        <row r="204">
          <cell r="E204" t="str">
            <v>Argentina</v>
          </cell>
          <cell r="F204" t="str">
            <v>Argentina</v>
          </cell>
          <cell r="G204">
            <v>40.412375999999995</v>
          </cell>
          <cell r="H204">
            <v>26.085673</v>
          </cell>
          <cell r="I204">
            <v>26085.673000000003</v>
          </cell>
          <cell r="J204">
            <v>78257.019</v>
          </cell>
          <cell r="K204">
            <v>52171.346000000005</v>
          </cell>
          <cell r="L204">
            <v>0.2</v>
          </cell>
          <cell r="M204">
            <v>2010</v>
          </cell>
          <cell r="N204" t="str">
            <v>16-65</v>
          </cell>
          <cell r="O204" t="str">
            <v>ARQ</v>
          </cell>
          <cell r="P204" t="str">
            <v>HHS</v>
          </cell>
          <cell r="S204" t="str">
            <v>Y</v>
          </cell>
          <cell r="T204">
            <v>0.1</v>
          </cell>
          <cell r="U204">
            <v>0.3</v>
          </cell>
          <cell r="V204">
            <v>0.1</v>
          </cell>
          <cell r="W204">
            <v>0.3</v>
          </cell>
          <cell r="X204">
            <v>0.2</v>
          </cell>
          <cell r="AG204">
            <v>1</v>
          </cell>
        </row>
        <row r="205">
          <cell r="E205" t="str">
            <v>Bolivia (Plurinational State of)</v>
          </cell>
          <cell r="F205" t="str">
            <v>Bolivia (Plurinational State of)</v>
          </cell>
          <cell r="G205">
            <v>9.929849</v>
          </cell>
          <cell r="H205">
            <v>5.882703</v>
          </cell>
          <cell r="I205">
            <v>17648.109</v>
          </cell>
          <cell r="J205">
            <v>52944.327000000005</v>
          </cell>
          <cell r="K205">
            <v>35296.218</v>
          </cell>
          <cell r="L205">
            <v>0.6</v>
          </cell>
          <cell r="M205">
            <v>2007</v>
          </cell>
          <cell r="N205" t="str">
            <v>12-65</v>
          </cell>
          <cell r="O205" t="str">
            <v>ARQ</v>
          </cell>
          <cell r="P205" t="str">
            <v>HHS</v>
          </cell>
          <cell r="S205" t="str">
            <v>Y</v>
          </cell>
          <cell r="T205">
            <v>0.3</v>
          </cell>
          <cell r="U205">
            <v>0.9</v>
          </cell>
        </row>
        <row r="206">
          <cell r="E206" t="str">
            <v>Brazil</v>
          </cell>
          <cell r="F206" t="str">
            <v>Brazil</v>
          </cell>
          <cell r="G206">
            <v>194.94647</v>
          </cell>
          <cell r="H206">
            <v>131.678692</v>
          </cell>
          <cell r="I206">
            <v>658393.4600000001</v>
          </cell>
          <cell r="J206">
            <v>658393.4600000001</v>
          </cell>
          <cell r="K206">
            <v>658393.4600000001</v>
          </cell>
          <cell r="L206">
            <v>0.5</v>
          </cell>
          <cell r="M206">
            <v>2005</v>
          </cell>
          <cell r="N206" t="str">
            <v>12-65</v>
          </cell>
          <cell r="O206" t="str">
            <v>ARQ</v>
          </cell>
          <cell r="P206" t="str">
            <v>HHS</v>
          </cell>
          <cell r="Q206" t="str">
            <v>e</v>
          </cell>
          <cell r="R206" t="str">
            <v>Houehold survey</v>
          </cell>
          <cell r="S206" t="str">
            <v>Y</v>
          </cell>
          <cell r="T206">
            <v>0.5</v>
          </cell>
          <cell r="U206">
            <v>0.5</v>
          </cell>
        </row>
        <row r="207">
          <cell r="E207" t="str">
            <v>Chile</v>
          </cell>
          <cell r="F207" t="str">
            <v>Chile</v>
          </cell>
          <cell r="G207">
            <v>17.113688</v>
          </cell>
          <cell r="H207">
            <v>11.744781999999999</v>
          </cell>
          <cell r="I207">
            <v>34059.8678</v>
          </cell>
          <cell r="J207">
            <v>34059.8678</v>
          </cell>
          <cell r="K207">
            <v>34059.8678</v>
          </cell>
          <cell r="L207">
            <v>0.29</v>
          </cell>
          <cell r="M207">
            <v>2010</v>
          </cell>
          <cell r="N207" t="str">
            <v>15-64</v>
          </cell>
          <cell r="O207" t="str">
            <v>ARQ</v>
          </cell>
          <cell r="P207" t="str">
            <v>HHS</v>
          </cell>
          <cell r="S207" t="str">
            <v>Y</v>
          </cell>
          <cell r="T207">
            <v>0.29</v>
          </cell>
          <cell r="U207">
            <v>0.29</v>
          </cell>
          <cell r="V207">
            <v>0.29</v>
          </cell>
          <cell r="W207">
            <v>0.29</v>
          </cell>
          <cell r="Y207">
            <v>0.00292</v>
          </cell>
          <cell r="Z207">
            <v>0.292</v>
          </cell>
          <cell r="AG207">
            <v>1</v>
          </cell>
        </row>
        <row r="208">
          <cell r="E208" t="str">
            <v>Colombia</v>
          </cell>
          <cell r="F208" t="str">
            <v>Colombia</v>
          </cell>
          <cell r="G208">
            <v>46.294841</v>
          </cell>
          <cell r="H208">
            <v>30.388807</v>
          </cell>
          <cell r="I208">
            <v>6077.7614</v>
          </cell>
          <cell r="J208">
            <v>6077.7614</v>
          </cell>
          <cell r="K208">
            <v>6077.7614</v>
          </cell>
          <cell r="L208">
            <v>0.02</v>
          </cell>
          <cell r="M208">
            <v>2008</v>
          </cell>
          <cell r="N208" t="str">
            <v>15-64</v>
          </cell>
          <cell r="O208" t="str">
            <v>ARQ</v>
          </cell>
          <cell r="P208" t="str">
            <v>HHS</v>
          </cell>
          <cell r="S208" t="str">
            <v>Y</v>
          </cell>
          <cell r="T208">
            <v>0.02</v>
          </cell>
          <cell r="U208">
            <v>0.02</v>
          </cell>
          <cell r="AG208">
            <v>1</v>
          </cell>
        </row>
        <row r="209">
          <cell r="E209" t="str">
            <v>Ecuador</v>
          </cell>
          <cell r="F209" t="str">
            <v>Ecuador</v>
          </cell>
          <cell r="G209">
            <v>14.464739</v>
          </cell>
          <cell r="H209">
            <v>9.174048</v>
          </cell>
          <cell r="I209">
            <v>9174.048</v>
          </cell>
          <cell r="J209">
            <v>11008.8576</v>
          </cell>
          <cell r="K209">
            <v>10091.452800000001</v>
          </cell>
          <cell r="L209">
            <v>0.11</v>
          </cell>
          <cell r="M209">
            <v>2007</v>
          </cell>
          <cell r="N209" t="str">
            <v>15-64</v>
          </cell>
          <cell r="O209" t="str">
            <v>ARQ</v>
          </cell>
          <cell r="P209" t="str">
            <v>HHS</v>
          </cell>
          <cell r="S209" t="str">
            <v>Y</v>
          </cell>
          <cell r="T209">
            <v>0.1</v>
          </cell>
          <cell r="U209">
            <v>0.12</v>
          </cell>
          <cell r="V209">
            <v>0.1</v>
          </cell>
          <cell r="W209">
            <v>0.12</v>
          </cell>
          <cell r="X209">
            <v>0.11</v>
          </cell>
          <cell r="AG209">
            <v>1</v>
          </cell>
        </row>
        <row r="210">
          <cell r="E210" t="str">
            <v>Guyana</v>
          </cell>
          <cell r="F210" t="str">
            <v>Guyana</v>
          </cell>
          <cell r="G210">
            <v>0.7544930000000001</v>
          </cell>
          <cell r="H210">
            <v>0.46868</v>
          </cell>
          <cell r="I210">
            <v>1171.7</v>
          </cell>
          <cell r="J210">
            <v>1171.7</v>
          </cell>
          <cell r="K210">
            <v>1171.7</v>
          </cell>
          <cell r="L210">
            <v>0.25</v>
          </cell>
          <cell r="M210">
            <v>2002</v>
          </cell>
          <cell r="N210" t="str">
            <v>15-64</v>
          </cell>
          <cell r="O210" t="str">
            <v>UNODC Estimate</v>
          </cell>
          <cell r="R210" t="str">
            <v>Based on 2.7% lifetime, 1.4% annual</v>
          </cell>
          <cell r="S210" t="str">
            <v>Y</v>
          </cell>
          <cell r="T210">
            <v>0.25</v>
          </cell>
          <cell r="U210">
            <v>0.25</v>
          </cell>
        </row>
        <row r="211">
          <cell r="E211" t="str">
            <v>Paraguay</v>
          </cell>
          <cell r="F211" t="str">
            <v>Paraguay</v>
          </cell>
          <cell r="G211">
            <v>6.454548</v>
          </cell>
          <cell r="H211">
            <v>3.960545</v>
          </cell>
          <cell r="I211">
            <v>1188.1634999999999</v>
          </cell>
          <cell r="J211">
            <v>1188.1634999999999</v>
          </cell>
          <cell r="K211">
            <v>1188.1634999999999</v>
          </cell>
          <cell r="L211">
            <v>0.03</v>
          </cell>
          <cell r="M211">
            <v>2003</v>
          </cell>
          <cell r="N211" t="str">
            <v>12-65</v>
          </cell>
          <cell r="O211" t="str">
            <v>ARQ</v>
          </cell>
          <cell r="P211" t="str">
            <v>HHS</v>
          </cell>
          <cell r="Q211" t="str">
            <v>e</v>
          </cell>
          <cell r="R211" t="str">
            <v>based on 0.1% and applying ratio from Chile</v>
          </cell>
          <cell r="S211" t="str">
            <v>Y</v>
          </cell>
          <cell r="T211">
            <v>0.03</v>
          </cell>
          <cell r="U211">
            <v>0.03</v>
          </cell>
        </row>
        <row r="212">
          <cell r="E212" t="str">
            <v>Peru</v>
          </cell>
          <cell r="F212" t="str">
            <v>Peru</v>
          </cell>
          <cell r="G212">
            <v>29.076511999999997</v>
          </cell>
          <cell r="H212">
            <v>18.593525000000003</v>
          </cell>
          <cell r="I212">
            <v>33468.345</v>
          </cell>
          <cell r="J212">
            <v>33468.345</v>
          </cell>
          <cell r="K212">
            <v>33468.345</v>
          </cell>
          <cell r="L212">
            <v>0.18</v>
          </cell>
          <cell r="M212">
            <v>2005</v>
          </cell>
          <cell r="N212" t="str">
            <v>12-64</v>
          </cell>
          <cell r="O212" t="str">
            <v>UNODC Estimate</v>
          </cell>
          <cell r="R212" t="str">
            <v>CEDRO Study; LTP .46% 12-64yrs adjusted to USA ration HHS</v>
          </cell>
          <cell r="S212" t="str">
            <v>Y</v>
          </cell>
          <cell r="T212">
            <v>0.18</v>
          </cell>
          <cell r="U212">
            <v>0.18</v>
          </cell>
          <cell r="AG212">
            <v>0</v>
          </cell>
        </row>
        <row r="213">
          <cell r="E213" t="str">
            <v>Suriname</v>
          </cell>
          <cell r="F213" t="str">
            <v>Suriname</v>
          </cell>
          <cell r="G213">
            <v>0.524636</v>
          </cell>
          <cell r="H213">
            <v>0.340934</v>
          </cell>
          <cell r="I213">
            <v>272.7472</v>
          </cell>
          <cell r="J213">
            <v>272.7472</v>
          </cell>
          <cell r="K213">
            <v>272.7472</v>
          </cell>
          <cell r="L213">
            <v>0.08</v>
          </cell>
          <cell r="M213">
            <v>2002</v>
          </cell>
          <cell r="N213" t="str">
            <v>15-64</v>
          </cell>
          <cell r="O213" t="str">
            <v>UNODC Estimate</v>
          </cell>
          <cell r="Q213" t="str">
            <v>e</v>
          </cell>
          <cell r="R213" t="str">
            <v>Based on 1.24% lifetime and 0.26% annual</v>
          </cell>
          <cell r="S213" t="str">
            <v>Y</v>
          </cell>
          <cell r="T213">
            <v>0.08</v>
          </cell>
          <cell r="U213">
            <v>0.08</v>
          </cell>
        </row>
        <row r="214">
          <cell r="E214" t="str">
            <v>Uruguay</v>
          </cell>
          <cell r="F214" t="str">
            <v>Uruguay</v>
          </cell>
          <cell r="G214">
            <v>3.368786</v>
          </cell>
          <cell r="H214">
            <v>2.1467899999999998</v>
          </cell>
          <cell r="I214">
            <v>2146.79</v>
          </cell>
          <cell r="J214">
            <v>2146.79</v>
          </cell>
          <cell r="K214">
            <v>2146.79</v>
          </cell>
          <cell r="L214">
            <v>0.1</v>
          </cell>
          <cell r="M214">
            <v>2006</v>
          </cell>
          <cell r="N214" t="str">
            <v>15-64</v>
          </cell>
          <cell r="O214" t="str">
            <v>ARQ</v>
          </cell>
          <cell r="P214" t="str">
            <v>HHS</v>
          </cell>
          <cell r="Q214" t="str">
            <v>e</v>
          </cell>
          <cell r="R214" t="str">
            <v>applying ratio from Chile</v>
          </cell>
          <cell r="S214" t="str">
            <v>Y</v>
          </cell>
          <cell r="T214">
            <v>0.1</v>
          </cell>
          <cell r="U214">
            <v>0.1</v>
          </cell>
        </row>
        <row r="215">
          <cell r="E215" t="str">
            <v>Venezuela (Bolivarian Republic of)</v>
          </cell>
          <cell r="F215" t="str">
            <v>Venezuela (Bolivarian Republic of)</v>
          </cell>
          <cell r="G215">
            <v>28.979857</v>
          </cell>
          <cell r="H215">
            <v>18.820475</v>
          </cell>
          <cell r="I215">
            <v>3544.771678005792</v>
          </cell>
          <cell r="J215">
            <v>3544.771678005792</v>
          </cell>
          <cell r="K215">
            <v>3544.771678005792</v>
          </cell>
          <cell r="L215">
            <v>0.018834655756593776</v>
          </cell>
          <cell r="M215">
            <v>2011</v>
          </cell>
          <cell r="N215" t="str">
            <v>12-65</v>
          </cell>
          <cell r="O215" t="str">
            <v>Government Source</v>
          </cell>
          <cell r="P215" t="str">
            <v>HHS</v>
          </cell>
          <cell r="R215" t="str">
            <v>ENaDPOG</v>
          </cell>
          <cell r="S215" t="str">
            <v>Y</v>
          </cell>
          <cell r="T215">
            <v>0.018834655756593776</v>
          </cell>
          <cell r="U215">
            <v>0.018834655756593776</v>
          </cell>
        </row>
        <row r="217">
          <cell r="E217" t="str">
            <v>Subtotal I</v>
          </cell>
          <cell r="G217">
            <v>392.32079500000003</v>
          </cell>
          <cell r="H217">
            <v>259.285654</v>
          </cell>
          <cell r="I217">
            <v>793231.4365780058</v>
          </cell>
          <cell r="J217">
            <v>882533.8101780058</v>
          </cell>
          <cell r="K217">
            <v>837882.6233780058</v>
          </cell>
          <cell r="L217">
            <v>0.32315039820059066</v>
          </cell>
        </row>
        <row r="221">
          <cell r="E221" t="str">
            <v>Falkland Islands (Malvinas)</v>
          </cell>
          <cell r="F221" t="str">
            <v>Falkland Islands (Malvinas)</v>
          </cell>
          <cell r="G221">
            <v>0.0030169999999999997</v>
          </cell>
          <cell r="H221">
            <v>0.001994237</v>
          </cell>
          <cell r="I221">
            <v>0</v>
          </cell>
          <cell r="J221">
            <v>0</v>
          </cell>
          <cell r="S221" t="str">
            <v>N</v>
          </cell>
        </row>
        <row r="222">
          <cell r="E222" t="str">
            <v>French Guiana</v>
          </cell>
          <cell r="F222" t="str">
            <v>French Guiana</v>
          </cell>
          <cell r="G222">
            <v>0.23115100000000002</v>
          </cell>
          <cell r="H222">
            <v>0.143929</v>
          </cell>
          <cell r="I222">
            <v>0</v>
          </cell>
          <cell r="J222">
            <v>0</v>
          </cell>
          <cell r="S222" t="str">
            <v>N</v>
          </cell>
        </row>
        <row r="224">
          <cell r="E224" t="str">
            <v>Subtotal II</v>
          </cell>
          <cell r="G224">
            <v>0.23416800000000002</v>
          </cell>
          <cell r="H224">
            <v>0.145923237</v>
          </cell>
          <cell r="I224">
            <v>0</v>
          </cell>
          <cell r="J224">
            <v>0</v>
          </cell>
          <cell r="K224">
            <v>471.55152143269174</v>
          </cell>
        </row>
        <row r="226">
          <cell r="E226" t="str">
            <v>Total S.Amer</v>
          </cell>
          <cell r="F226">
            <v>1</v>
          </cell>
          <cell r="G226">
            <v>392.55496300000004</v>
          </cell>
          <cell r="H226">
            <v>259.431577237</v>
          </cell>
          <cell r="I226">
            <v>793231.4365780058</v>
          </cell>
          <cell r="J226">
            <v>882533.8101780058</v>
          </cell>
          <cell r="K226">
            <v>838354.1748994385</v>
          </cell>
          <cell r="T226">
            <v>0.021</v>
          </cell>
          <cell r="U226">
            <v>0.4800000000000001</v>
          </cell>
        </row>
        <row r="227">
          <cell r="F227" t="str">
            <v>MIN</v>
          </cell>
          <cell r="H227">
            <v>259.431577237</v>
          </cell>
          <cell r="I227">
            <v>793262.0804577757</v>
          </cell>
          <cell r="L227">
            <v>0.3057692856460193</v>
          </cell>
        </row>
        <row r="228">
          <cell r="F228" t="str">
            <v>MAX</v>
          </cell>
          <cell r="H228">
            <v>259.431577237</v>
          </cell>
          <cell r="I228">
            <v>883234.2417156058</v>
          </cell>
          <cell r="L228">
            <v>0.3404497829918136</v>
          </cell>
        </row>
        <row r="229">
          <cell r="F229" t="str">
            <v>BE</v>
          </cell>
          <cell r="H229">
            <v>259.431577237</v>
          </cell>
          <cell r="I229">
            <v>838354.1748994385</v>
          </cell>
          <cell r="L229">
            <v>0.3231503982005907</v>
          </cell>
        </row>
        <row r="231">
          <cell r="AG231" t="str">
            <v>Updated from WDR 2011</v>
          </cell>
        </row>
        <row r="233">
          <cell r="E233" t="str">
            <v>Bahamas</v>
          </cell>
          <cell r="F233" t="str">
            <v>Bahamas</v>
          </cell>
          <cell r="G233">
            <v>0.342877</v>
          </cell>
          <cell r="H233">
            <v>0.242228</v>
          </cell>
          <cell r="I233">
            <v>532.9016</v>
          </cell>
          <cell r="J233">
            <v>532.9016</v>
          </cell>
          <cell r="K233">
            <v>532.9016</v>
          </cell>
          <cell r="L233">
            <v>0.22</v>
          </cell>
          <cell r="M233">
            <v>2003</v>
          </cell>
          <cell r="N233" t="str">
            <v>15-64</v>
          </cell>
          <cell r="O233" t="str">
            <v>UNODC Estimate</v>
          </cell>
          <cell r="R233" t="str">
            <v>0.8 heroin and 0.5 opium schools</v>
          </cell>
          <cell r="S233" t="str">
            <v>Y</v>
          </cell>
          <cell r="T233">
            <v>0.22</v>
          </cell>
          <cell r="U233">
            <v>0.22</v>
          </cell>
        </row>
        <row r="234">
          <cell r="E234" t="str">
            <v>Barbados</v>
          </cell>
          <cell r="F234" t="str">
            <v>Barbados</v>
          </cell>
          <cell r="G234">
            <v>0.273331</v>
          </cell>
          <cell r="H234">
            <v>0.194583</v>
          </cell>
          <cell r="I234">
            <v>311.33279999999996</v>
          </cell>
          <cell r="J234">
            <v>564.2907</v>
          </cell>
          <cell r="K234">
            <v>447.5409</v>
          </cell>
          <cell r="L234">
            <v>0.23</v>
          </cell>
          <cell r="M234">
            <v>2006</v>
          </cell>
          <cell r="N234" t="str">
            <v>15-64</v>
          </cell>
          <cell r="O234" t="str">
            <v>UNODC Estimate</v>
          </cell>
          <cell r="R234" t="str">
            <v>Based on HHS Lifetime Morphine 0.50%, Opium 0.30% Heroin 0.10%, adjusted by USA ration lifetime-annual</v>
          </cell>
          <cell r="S234" t="str">
            <v>Y</v>
          </cell>
          <cell r="T234">
            <v>0.16</v>
          </cell>
          <cell r="U234">
            <v>0.29</v>
          </cell>
        </row>
        <row r="235">
          <cell r="E235" t="str">
            <v>Bermuda</v>
          </cell>
          <cell r="F235" t="str">
            <v>Bermuda</v>
          </cell>
          <cell r="G235">
            <v>0.064941</v>
          </cell>
          <cell r="H235">
            <v>0.04351047</v>
          </cell>
          <cell r="I235">
            <v>43.51047000000001</v>
          </cell>
          <cell r="J235">
            <v>87.02094000000002</v>
          </cell>
          <cell r="K235">
            <v>65.26570500000003</v>
          </cell>
          <cell r="L235">
            <v>0.15000000000000002</v>
          </cell>
          <cell r="M235">
            <v>2009</v>
          </cell>
          <cell r="N235" t="str">
            <v>16-65</v>
          </cell>
          <cell r="O235" t="str">
            <v>Government Source</v>
          </cell>
          <cell r="P235" t="str">
            <v>HHS</v>
          </cell>
          <cell r="S235" t="str">
            <v>Y</v>
          </cell>
          <cell r="T235">
            <v>0.1</v>
          </cell>
          <cell r="U235">
            <v>0.2</v>
          </cell>
          <cell r="V235">
            <v>0.15000000000000002</v>
          </cell>
        </row>
        <row r="236">
          <cell r="E236" t="str">
            <v>Dominican Republic</v>
          </cell>
          <cell r="F236" t="str">
            <v>Dominican Republic</v>
          </cell>
          <cell r="G236">
            <v>9.92732</v>
          </cell>
          <cell r="H236">
            <v>6.2238050000000005</v>
          </cell>
          <cell r="I236">
            <v>3176.608263724922</v>
          </cell>
          <cell r="J236">
            <v>5295.098576435658</v>
          </cell>
          <cell r="K236">
            <v>4235.853420080291</v>
          </cell>
          <cell r="L236">
            <v>0.06805890319636124</v>
          </cell>
          <cell r="M236">
            <v>2008</v>
          </cell>
          <cell r="N236" t="str">
            <v>15-64</v>
          </cell>
          <cell r="O236" t="str">
            <v>UNODC Estimate</v>
          </cell>
          <cell r="P236" t="str">
            <v>SS</v>
          </cell>
          <cell r="Q236" t="str">
            <v>d</v>
          </cell>
          <cell r="R236" t="str">
            <v>Based on 0.2% Lifetime prevalence among SS students</v>
          </cell>
          <cell r="S236" t="str">
            <v>Y</v>
          </cell>
          <cell r="T236">
            <v>0.05103964959899807</v>
          </cell>
          <cell r="U236">
            <v>0.0850781567937244</v>
          </cell>
          <cell r="V236">
            <v>0.06805890319636124</v>
          </cell>
          <cell r="AG236">
            <v>1</v>
          </cell>
        </row>
        <row r="237">
          <cell r="E237" t="str">
            <v>Haiti</v>
          </cell>
          <cell r="F237" t="str">
            <v>Haiti</v>
          </cell>
          <cell r="G237">
            <v>9.993247</v>
          </cell>
          <cell r="H237">
            <v>5.9617569999999995</v>
          </cell>
          <cell r="I237">
            <v>11327.338300000001</v>
          </cell>
          <cell r="J237">
            <v>13115.8654</v>
          </cell>
          <cell r="K237">
            <v>11923.514000000001</v>
          </cell>
          <cell r="L237">
            <v>0.2</v>
          </cell>
          <cell r="M237">
            <v>2006</v>
          </cell>
          <cell r="N237" t="str">
            <v>15-64</v>
          </cell>
          <cell r="O237" t="str">
            <v>ARQ</v>
          </cell>
          <cell r="P237" t="str">
            <v>SS</v>
          </cell>
          <cell r="Q237" t="str">
            <v>a, d, e</v>
          </cell>
          <cell r="S237" t="str">
            <v>Y</v>
          </cell>
          <cell r="T237">
            <v>0.19</v>
          </cell>
          <cell r="U237">
            <v>0.22</v>
          </cell>
        </row>
        <row r="238">
          <cell r="E238" t="str">
            <v>Jamaica</v>
          </cell>
          <cell r="F238" t="str">
            <v>Jamaica</v>
          </cell>
          <cell r="G238">
            <v>2.7410520000000003</v>
          </cell>
          <cell r="H238">
            <v>1.729609</v>
          </cell>
          <cell r="I238">
            <v>8648.045</v>
          </cell>
          <cell r="J238">
            <v>25944.135</v>
          </cell>
          <cell r="K238">
            <v>17296.09</v>
          </cell>
          <cell r="L238">
            <v>1</v>
          </cell>
          <cell r="M238">
            <v>2006</v>
          </cell>
          <cell r="N238" t="str">
            <v>15-64</v>
          </cell>
          <cell r="O238" t="str">
            <v>UNODC Estimate</v>
          </cell>
          <cell r="P238" t="str">
            <v>SS</v>
          </cell>
          <cell r="Q238" t="str">
            <v>d,e</v>
          </cell>
          <cell r="R238" t="str">
            <v>Based on LTP  1.7 heroin, 1.6 Morphine, 1.4 opium SS, using ratios</v>
          </cell>
          <cell r="S238" t="str">
            <v>N</v>
          </cell>
          <cell r="T238">
            <v>0.5</v>
          </cell>
          <cell r="U238">
            <v>1.5</v>
          </cell>
          <cell r="V238">
            <v>1</v>
          </cell>
          <cell r="W238" t="str">
            <v>(see 2011 file for OP)</v>
          </cell>
        </row>
        <row r="239">
          <cell r="E239" t="str">
            <v>Puerto Rico</v>
          </cell>
          <cell r="F239" t="str">
            <v>Puerto Rico</v>
          </cell>
          <cell r="G239">
            <v>3.749009</v>
          </cell>
          <cell r="H239">
            <v>2.479743</v>
          </cell>
          <cell r="I239">
            <v>28517.044499999996</v>
          </cell>
          <cell r="J239">
            <v>28517.044499999996</v>
          </cell>
          <cell r="K239">
            <v>28517.044499999996</v>
          </cell>
          <cell r="L239">
            <v>1.15</v>
          </cell>
          <cell r="M239">
            <v>2002</v>
          </cell>
          <cell r="N239" t="str">
            <v>15-64</v>
          </cell>
          <cell r="O239" t="str">
            <v>Reference Group to the UN on HIV and IDU</v>
          </cell>
          <cell r="P239" t="str">
            <v>I</v>
          </cell>
          <cell r="S239" t="str">
            <v>Y</v>
          </cell>
          <cell r="T239">
            <v>1.15</v>
          </cell>
          <cell r="U239">
            <v>1.15</v>
          </cell>
        </row>
        <row r="240">
          <cell r="E240" t="str">
            <v>Trinidad and Tobago</v>
          </cell>
          <cell r="F240" t="str">
            <v>Trinidad and Tobago</v>
          </cell>
          <cell r="G240">
            <v>1.341465</v>
          </cell>
          <cell r="H240">
            <v>0.971818</v>
          </cell>
          <cell r="I240">
            <v>874.6361999999999</v>
          </cell>
          <cell r="J240">
            <v>874.6361999999999</v>
          </cell>
          <cell r="K240">
            <v>874.6361999999999</v>
          </cell>
          <cell r="L240">
            <v>0.09</v>
          </cell>
          <cell r="M240">
            <v>2002</v>
          </cell>
          <cell r="N240" t="str">
            <v>15-64</v>
          </cell>
          <cell r="O240" t="str">
            <v>UNODC Estimate</v>
          </cell>
          <cell r="R240" t="str">
            <v>Based on 0.9% lifetime, 0.5% annual for 11-24 years old.</v>
          </cell>
          <cell r="S240" t="str">
            <v>Y</v>
          </cell>
          <cell r="T240">
            <v>0.09</v>
          </cell>
          <cell r="U240">
            <v>0.09</v>
          </cell>
        </row>
        <row r="241">
          <cell r="E241" t="str">
            <v>Turks and Caicos Islands</v>
          </cell>
          <cell r="F241" t="str">
            <v>Turks and Caicos Islands</v>
          </cell>
          <cell r="G241">
            <v>0.038354</v>
          </cell>
          <cell r="H241">
            <v>0.028075127999999998</v>
          </cell>
          <cell r="I241">
            <v>19.652589600000002</v>
          </cell>
          <cell r="J241">
            <v>19.652589600000002</v>
          </cell>
          <cell r="K241">
            <v>19.652589600000002</v>
          </cell>
          <cell r="L241">
            <v>0.07</v>
          </cell>
          <cell r="M241">
            <v>2002</v>
          </cell>
          <cell r="N241" t="str">
            <v>15-64</v>
          </cell>
          <cell r="O241" t="str">
            <v>UNODC Estimate</v>
          </cell>
          <cell r="R241" t="str">
            <v>Based on 0.4% annual, school survey</v>
          </cell>
          <cell r="S241" t="str">
            <v>Y</v>
          </cell>
          <cell r="T241">
            <v>0.07</v>
          </cell>
          <cell r="U241">
            <v>0.07</v>
          </cell>
        </row>
        <row r="245">
          <cell r="E245" t="str">
            <v>Subtotal I</v>
          </cell>
          <cell r="G245">
            <v>28.471595999999998</v>
          </cell>
          <cell r="H245">
            <v>17.875128598</v>
          </cell>
          <cell r="I245">
            <v>53451.06972332492</v>
          </cell>
          <cell r="J245">
            <v>74950.64550603565</v>
          </cell>
          <cell r="K245">
            <v>63912.49891468029</v>
          </cell>
          <cell r="L245">
            <v>0.35754986916195547</v>
          </cell>
        </row>
        <row r="247">
          <cell r="E247" t="str">
            <v>Anguilla</v>
          </cell>
          <cell r="F247" t="str">
            <v>Anguilla</v>
          </cell>
          <cell r="G247">
            <v>0.015358</v>
          </cell>
          <cell r="H247">
            <v>0.010458798</v>
          </cell>
          <cell r="I247">
            <v>0</v>
          </cell>
          <cell r="J247">
            <v>0</v>
          </cell>
          <cell r="S247" t="str">
            <v>N</v>
          </cell>
        </row>
        <row r="248">
          <cell r="E248" t="str">
            <v>Antigua and Barbuda</v>
          </cell>
          <cell r="F248" t="str">
            <v>Antigua and Barbuda</v>
          </cell>
          <cell r="G248">
            <v>0.08871</v>
          </cell>
          <cell r="H248">
            <v>0.05979054</v>
          </cell>
          <cell r="I248">
            <v>0</v>
          </cell>
          <cell r="J248">
            <v>0</v>
          </cell>
          <cell r="K248">
            <v>0</v>
          </cell>
          <cell r="S248" t="str">
            <v>N</v>
          </cell>
        </row>
        <row r="249">
          <cell r="E249" t="str">
            <v>Aruba</v>
          </cell>
          <cell r="F249" t="str">
            <v>Aruba</v>
          </cell>
          <cell r="G249">
            <v>0.107488</v>
          </cell>
          <cell r="H249">
            <v>0.07667199999999999</v>
          </cell>
          <cell r="I249">
            <v>0</v>
          </cell>
          <cell r="J249">
            <v>0</v>
          </cell>
          <cell r="S249" t="str">
            <v>N</v>
          </cell>
        </row>
        <row r="250">
          <cell r="E250" t="str">
            <v>British Virgin Islands</v>
          </cell>
          <cell r="F250" t="str">
            <v>British Virgin Islands</v>
          </cell>
          <cell r="G250">
            <v>0.023245000000000002</v>
          </cell>
          <cell r="H250">
            <v>0.017224545</v>
          </cell>
          <cell r="I250">
            <v>0</v>
          </cell>
          <cell r="J250">
            <v>0</v>
          </cell>
          <cell r="S250" t="str">
            <v>N</v>
          </cell>
        </row>
        <row r="251">
          <cell r="E251" t="str">
            <v>Cayman Islands</v>
          </cell>
          <cell r="F251" t="str">
            <v>Cayman Islands</v>
          </cell>
          <cell r="G251">
            <v>0.056229999999999995</v>
          </cell>
          <cell r="H251">
            <v>0.03997953</v>
          </cell>
          <cell r="I251">
            <v>0</v>
          </cell>
          <cell r="J251">
            <v>0</v>
          </cell>
          <cell r="S251" t="str">
            <v>N</v>
          </cell>
        </row>
        <row r="252">
          <cell r="E252" t="str">
            <v>Cuba</v>
          </cell>
          <cell r="F252" t="str">
            <v>Cuba</v>
          </cell>
          <cell r="G252">
            <v>11.257978999999999</v>
          </cell>
          <cell r="H252">
            <v>7.913875</v>
          </cell>
          <cell r="I252">
            <v>0</v>
          </cell>
          <cell r="J252">
            <v>0</v>
          </cell>
          <cell r="S252" t="str">
            <v>N</v>
          </cell>
        </row>
        <row r="253">
          <cell r="E253" t="str">
            <v>Dominica</v>
          </cell>
          <cell r="F253" t="str">
            <v>Dominica</v>
          </cell>
          <cell r="G253">
            <v>0.06775700000000001</v>
          </cell>
          <cell r="H253">
            <v>0.045261676</v>
          </cell>
          <cell r="I253">
            <v>0</v>
          </cell>
          <cell r="J253">
            <v>0</v>
          </cell>
          <cell r="S253" t="str">
            <v>N</v>
          </cell>
        </row>
        <row r="254">
          <cell r="E254" t="str">
            <v>Grenada</v>
          </cell>
          <cell r="F254" t="str">
            <v>Grenada</v>
          </cell>
          <cell r="G254">
            <v>0.104487</v>
          </cell>
          <cell r="H254">
            <v>0.06818</v>
          </cell>
          <cell r="I254">
            <v>0</v>
          </cell>
          <cell r="J254">
            <v>0</v>
          </cell>
          <cell r="S254" t="str">
            <v>N</v>
          </cell>
        </row>
        <row r="255">
          <cell r="E255" t="str">
            <v>Guadeloupe</v>
          </cell>
          <cell r="F255" t="str">
            <v>Guadeloupe</v>
          </cell>
          <cell r="G255">
            <v>0.460666</v>
          </cell>
          <cell r="H255">
            <v>0.299957</v>
          </cell>
          <cell r="I255">
            <v>0</v>
          </cell>
          <cell r="J255">
            <v>0</v>
          </cell>
          <cell r="S255" t="str">
            <v>N</v>
          </cell>
        </row>
        <row r="256">
          <cell r="E256" t="str">
            <v>Martinique</v>
          </cell>
          <cell r="F256" t="str">
            <v>Martinique</v>
          </cell>
          <cell r="G256">
            <v>0.405814</v>
          </cell>
          <cell r="H256">
            <v>0.267731</v>
          </cell>
          <cell r="I256">
            <v>0</v>
          </cell>
          <cell r="J256">
            <v>0</v>
          </cell>
          <cell r="S256" t="str">
            <v>N</v>
          </cell>
        </row>
        <row r="257">
          <cell r="E257" t="str">
            <v>Montserrat</v>
          </cell>
          <cell r="F257" t="str">
            <v>Montserrat</v>
          </cell>
          <cell r="G257">
            <v>0.005934</v>
          </cell>
          <cell r="H257">
            <v>0.003952043999999999</v>
          </cell>
          <cell r="I257">
            <v>0</v>
          </cell>
          <cell r="J257">
            <v>0</v>
          </cell>
          <cell r="S257" t="str">
            <v>N</v>
          </cell>
        </row>
        <row r="258">
          <cell r="E258" t="str">
            <v>Netherlands Antilles</v>
          </cell>
          <cell r="F258" t="str">
            <v>Netherlands Antilles</v>
          </cell>
          <cell r="G258">
            <v>0.200689</v>
          </cell>
          <cell r="H258">
            <v>0.138077</v>
          </cell>
          <cell r="I258">
            <v>0</v>
          </cell>
          <cell r="J258">
            <v>0</v>
          </cell>
          <cell r="S258" t="str">
            <v>N</v>
          </cell>
        </row>
        <row r="259">
          <cell r="E259" t="str">
            <v>Saint Kitts and Nevis</v>
          </cell>
          <cell r="F259" t="str">
            <v>Saint Kitts and Nevis</v>
          </cell>
          <cell r="G259">
            <v>0.052402000000000004</v>
          </cell>
          <cell r="H259">
            <v>0.036471792</v>
          </cell>
          <cell r="I259">
            <v>0</v>
          </cell>
          <cell r="J259">
            <v>0</v>
          </cell>
          <cell r="S259" t="str">
            <v>N</v>
          </cell>
        </row>
        <row r="260">
          <cell r="E260" t="str">
            <v>Saint Lucia</v>
          </cell>
          <cell r="F260" t="str">
            <v>Saint Lucia</v>
          </cell>
          <cell r="G260">
            <v>0.174267</v>
          </cell>
          <cell r="H260">
            <v>0.117446</v>
          </cell>
          <cell r="I260">
            <v>0</v>
          </cell>
          <cell r="J260">
            <v>0</v>
          </cell>
          <cell r="S260" t="str">
            <v>N</v>
          </cell>
        </row>
        <row r="261">
          <cell r="E261" t="str">
            <v>Saint Vincent and the Grenadines</v>
          </cell>
          <cell r="F261" t="str">
            <v>Saint Vincent and the Grenadines</v>
          </cell>
          <cell r="G261">
            <v>0.109333</v>
          </cell>
          <cell r="H261">
            <v>0.072958</v>
          </cell>
          <cell r="I261">
            <v>0</v>
          </cell>
          <cell r="J261">
            <v>0</v>
          </cell>
          <cell r="S261" t="str">
            <v>N</v>
          </cell>
        </row>
        <row r="262">
          <cell r="E262" t="str">
            <v>United States Virgin Islands</v>
          </cell>
          <cell r="F262" t="str">
            <v>United States Virgin Islands</v>
          </cell>
          <cell r="G262">
            <v>0.109056</v>
          </cell>
          <cell r="H262">
            <v>0.071321</v>
          </cell>
          <cell r="I262">
            <v>0</v>
          </cell>
          <cell r="J262">
            <v>0</v>
          </cell>
          <cell r="S262" t="str">
            <v>N</v>
          </cell>
        </row>
        <row r="264">
          <cell r="E264" t="str">
            <v>Subtotal II</v>
          </cell>
          <cell r="G264">
            <v>13.239415000000001</v>
          </cell>
          <cell r="H264">
            <v>9.239355924999998</v>
          </cell>
          <cell r="I264">
            <v>0</v>
          </cell>
          <cell r="J264">
            <v>0</v>
          </cell>
          <cell r="K264">
            <v>33035.30502124487</v>
          </cell>
        </row>
        <row r="266">
          <cell r="E266" t="str">
            <v>Total Carib.</v>
          </cell>
          <cell r="F266">
            <v>1</v>
          </cell>
          <cell r="G266">
            <v>41.711011</v>
          </cell>
          <cell r="H266">
            <v>27.114484522999998</v>
          </cell>
          <cell r="I266">
            <v>53451.06972332492</v>
          </cell>
          <cell r="J266">
            <v>74950.64550603565</v>
          </cell>
          <cell r="K266">
            <v>96947.80393592516</v>
          </cell>
          <cell r="T266">
            <v>0.06620792991979962</v>
          </cell>
          <cell r="U266">
            <v>1.2199999999999998</v>
          </cell>
        </row>
        <row r="267">
          <cell r="F267" t="str">
            <v>MIN</v>
          </cell>
          <cell r="H267">
            <v>27.114484522999998</v>
          </cell>
          <cell r="I267">
            <v>59568.25601918978</v>
          </cell>
          <cell r="L267">
            <v>0.2196916410808426</v>
          </cell>
        </row>
        <row r="268">
          <cell r="F268" t="str">
            <v>MAX</v>
          </cell>
          <cell r="H268">
            <v>27.114484522999998</v>
          </cell>
          <cell r="I268">
            <v>187670.7877910356</v>
          </cell>
          <cell r="L268">
            <v>0.6921421929738067</v>
          </cell>
        </row>
        <row r="269">
          <cell r="F269" t="str">
            <v>BE</v>
          </cell>
          <cell r="H269">
            <v>27.114484522999998</v>
          </cell>
          <cell r="I269">
            <v>96947.80393592516</v>
          </cell>
          <cell r="L269">
            <v>0.35754986916195547</v>
          </cell>
        </row>
        <row r="271">
          <cell r="E271" t="str">
            <v>Americas I (Subregion- MIN)</v>
          </cell>
          <cell r="G271">
            <v>934.5535510000001</v>
          </cell>
          <cell r="H271">
            <v>616.1628616259999</v>
          </cell>
          <cell r="I271">
            <v>13296441.353535064</v>
          </cell>
          <cell r="K271">
            <v>1.422758635854251</v>
          </cell>
          <cell r="L271">
            <v>2.157942677435462</v>
          </cell>
        </row>
        <row r="272">
          <cell r="E272" t="str">
            <v>Americas I (Subregion- MAX)</v>
          </cell>
          <cell r="G272">
            <v>934.5535510000001</v>
          </cell>
          <cell r="H272">
            <v>616.1628616259999</v>
          </cell>
          <cell r="I272">
            <v>14766990.0825179</v>
          </cell>
          <cell r="K272">
            <v>1.5801117086031915</v>
          </cell>
          <cell r="L272">
            <v>2.3966050215277668</v>
          </cell>
        </row>
        <row r="273">
          <cell r="E273" t="str">
            <v>Americas II (No Subregion, w/ Values)</v>
          </cell>
        </row>
        <row r="274">
          <cell r="E274" t="str">
            <v>Americas II (No Subregion)</v>
          </cell>
        </row>
        <row r="275">
          <cell r="E275" t="str">
            <v>Total America</v>
          </cell>
          <cell r="G275">
            <v>934.5535510000001</v>
          </cell>
          <cell r="H275">
            <v>616.1628616259999</v>
          </cell>
          <cell r="T275">
            <v>0.038000000000000006</v>
          </cell>
          <cell r="U275">
            <v>1.2199999999999998</v>
          </cell>
        </row>
        <row r="276">
          <cell r="F276" t="str">
            <v>MIN</v>
          </cell>
          <cell r="H276">
            <v>616.1628616259999</v>
          </cell>
          <cell r="I276">
            <v>13296441.353535064</v>
          </cell>
          <cell r="L276">
            <v>2.157942677435462</v>
          </cell>
        </row>
        <row r="277">
          <cell r="F277" t="str">
            <v>MAX</v>
          </cell>
          <cell r="H277">
            <v>616.1628616259999</v>
          </cell>
          <cell r="I277">
            <v>14766990.0825179</v>
          </cell>
          <cell r="L277">
            <v>2.3966050215277668</v>
          </cell>
        </row>
        <row r="278">
          <cell r="F278" t="str">
            <v>BE</v>
          </cell>
          <cell r="H278">
            <v>616.1628616259999</v>
          </cell>
          <cell r="I278">
            <v>13996223.309061432</v>
          </cell>
          <cell r="L278">
            <v>2.271513617702732</v>
          </cell>
        </row>
        <row r="281">
          <cell r="AG281" t="str">
            <v>Updated from WDR 2011</v>
          </cell>
        </row>
        <row r="283">
          <cell r="V283" t="str">
            <v>BE</v>
          </cell>
          <cell r="W283" t="str">
            <v>Max</v>
          </cell>
          <cell r="X283" t="str">
            <v>Min</v>
          </cell>
          <cell r="Y283" t="str">
            <v>Opium</v>
          </cell>
          <cell r="Z283" t="str">
            <v>Prescription opioids</v>
          </cell>
          <cell r="AA283" t="str">
            <v>Heroin</v>
          </cell>
          <cell r="AB283" t="str">
            <v>Heroin</v>
          </cell>
          <cell r="AC283" t="str">
            <v>Opioids</v>
          </cell>
          <cell r="AD283" t="str">
            <v>Prescription opioids</v>
          </cell>
          <cell r="AE283" t="str">
            <v>ProblemUsers</v>
          </cell>
          <cell r="AF283" t="str">
            <v>IDU</v>
          </cell>
        </row>
        <row r="284">
          <cell r="E284" t="str">
            <v>Armenia</v>
          </cell>
          <cell r="F284" t="str">
            <v>Armenia</v>
          </cell>
          <cell r="G284">
            <v>3.092072</v>
          </cell>
          <cell r="H284">
            <v>2.124357</v>
          </cell>
          <cell r="I284">
            <v>5035.8184698141085</v>
          </cell>
          <cell r="J284">
            <v>7050.1458577397525</v>
          </cell>
          <cell r="K284">
            <v>6042.982163776922</v>
          </cell>
          <cell r="L284">
            <v>0.284461706002189</v>
          </cell>
          <cell r="M284">
            <v>2007</v>
          </cell>
          <cell r="N284" t="str">
            <v>15-64</v>
          </cell>
          <cell r="O284" t="str">
            <v>Government Source</v>
          </cell>
          <cell r="R284" t="str">
            <v>Based on 5000 - 7000 opioid users</v>
          </cell>
          <cell r="S284" t="str">
            <v>Y</v>
          </cell>
          <cell r="T284">
            <v>0.23705142166849116</v>
          </cell>
          <cell r="U284">
            <v>0.33187199033588766</v>
          </cell>
          <cell r="AG284">
            <v>1</v>
          </cell>
        </row>
        <row r="285">
          <cell r="E285" t="str">
            <v>Azerbaijan</v>
          </cell>
          <cell r="F285" t="str">
            <v>Azerbaijan</v>
          </cell>
          <cell r="G285">
            <v>9.187783</v>
          </cell>
          <cell r="H285">
            <v>6.666063</v>
          </cell>
          <cell r="I285">
            <v>85454.67032175537</v>
          </cell>
          <cell r="J285">
            <v>114599.49230223535</v>
          </cell>
          <cell r="K285">
            <v>100027.08131199537</v>
          </cell>
          <cell r="L285">
            <v>1.500542093766521</v>
          </cell>
          <cell r="M285">
            <v>2010</v>
          </cell>
          <cell r="N285" t="str">
            <v>15-64</v>
          </cell>
          <cell r="O285" t="str">
            <v>Government report</v>
          </cell>
          <cell r="Q285" t="str">
            <v>i</v>
          </cell>
          <cell r="R285" t="str">
            <v>Based on registered opioid users and TX multiplier</v>
          </cell>
          <cell r="S285" t="str">
            <v>Y</v>
          </cell>
          <cell r="T285">
            <v>1.2819361341432773</v>
          </cell>
          <cell r="U285">
            <v>1.7191480533897647</v>
          </cell>
          <cell r="AG285">
            <v>1</v>
          </cell>
        </row>
        <row r="286">
          <cell r="E286" t="str">
            <v>Georgia</v>
          </cell>
          <cell r="F286" t="str">
            <v>Georgia</v>
          </cell>
          <cell r="G286">
            <v>4.352244</v>
          </cell>
          <cell r="H286">
            <v>3.007698</v>
          </cell>
          <cell r="I286">
            <v>40013.89806606682</v>
          </cell>
          <cell r="J286">
            <v>42065.89283868561</v>
          </cell>
          <cell r="K286">
            <v>41039.895452376215</v>
          </cell>
          <cell r="L286">
            <v>1.364495220343805</v>
          </cell>
          <cell r="M286">
            <v>2010</v>
          </cell>
          <cell r="N286" t="str">
            <v>15-64</v>
          </cell>
          <cell r="O286" t="str">
            <v>SCAD Report - Academic Research</v>
          </cell>
          <cell r="Q286" t="str">
            <v>i</v>
          </cell>
          <cell r="R286" t="str">
            <v>Problem drug users SCAD </v>
          </cell>
          <cell r="S286" t="str">
            <v>Y</v>
          </cell>
          <cell r="T286">
            <v>1.33038283983521</v>
          </cell>
          <cell r="U286">
            <v>1.3986076008524</v>
          </cell>
          <cell r="V286">
            <v>0</v>
          </cell>
          <cell r="W286">
            <v>0</v>
          </cell>
          <cell r="X286">
            <v>0</v>
          </cell>
          <cell r="Y286" t="str">
            <v/>
          </cell>
          <cell r="Z286" t="str">
            <v/>
          </cell>
          <cell r="AA286" t="str">
            <v/>
          </cell>
          <cell r="AB286" t="str">
            <v/>
          </cell>
          <cell r="AC286" t="str">
            <v/>
          </cell>
          <cell r="AD286" t="str">
            <v/>
          </cell>
          <cell r="AG286">
            <v>1</v>
          </cell>
        </row>
        <row r="287">
          <cell r="E287" t="str">
            <v>Kazakhstan</v>
          </cell>
          <cell r="F287" t="str">
            <v>Kazakhstan</v>
          </cell>
          <cell r="G287">
            <v>16.026367</v>
          </cell>
          <cell r="H287">
            <v>11.015013999999999</v>
          </cell>
          <cell r="I287">
            <v>110150.14</v>
          </cell>
          <cell r="J287">
            <v>110150.14</v>
          </cell>
          <cell r="K287">
            <v>110150.14</v>
          </cell>
          <cell r="L287">
            <v>1</v>
          </cell>
          <cell r="M287">
            <v>2006</v>
          </cell>
          <cell r="N287" t="str">
            <v>15-64</v>
          </cell>
          <cell r="O287" t="str">
            <v>UNODC (GAP survey)</v>
          </cell>
          <cell r="Q287" t="str">
            <v>i</v>
          </cell>
          <cell r="S287" t="str">
            <v>Y</v>
          </cell>
          <cell r="T287">
            <v>1</v>
          </cell>
          <cell r="U287">
            <v>1</v>
          </cell>
          <cell r="V287">
            <v>0</v>
          </cell>
          <cell r="W287">
            <v>0</v>
          </cell>
          <cell r="X287">
            <v>0</v>
          </cell>
          <cell r="Y287" t="str">
            <v/>
          </cell>
          <cell r="Z287" t="str">
            <v/>
          </cell>
          <cell r="AA287" t="str">
            <v/>
          </cell>
          <cell r="AB287" t="str">
            <v/>
          </cell>
          <cell r="AC287" t="str">
            <v/>
          </cell>
          <cell r="AD287" t="str">
            <v/>
          </cell>
        </row>
        <row r="288">
          <cell r="E288" t="str">
            <v>Kyrgyzstan</v>
          </cell>
          <cell r="F288" t="str">
            <v>Kyrgyzstan</v>
          </cell>
          <cell r="G288">
            <v>5.334223</v>
          </cell>
          <cell r="H288">
            <v>3.495167</v>
          </cell>
          <cell r="I288">
            <v>27961.336</v>
          </cell>
          <cell r="J288">
            <v>27961.336</v>
          </cell>
          <cell r="K288">
            <v>27961.336</v>
          </cell>
          <cell r="L288">
            <v>0.8</v>
          </cell>
          <cell r="M288">
            <v>2006</v>
          </cell>
          <cell r="N288" t="str">
            <v>15-64</v>
          </cell>
          <cell r="O288" t="str">
            <v>UNODC (GAP survey)</v>
          </cell>
          <cell r="Q288" t="str">
            <v>i</v>
          </cell>
          <cell r="S288" t="str">
            <v>Y</v>
          </cell>
          <cell r="T288">
            <v>0.8</v>
          </cell>
          <cell r="U288">
            <v>0.8</v>
          </cell>
          <cell r="V288">
            <v>0</v>
          </cell>
          <cell r="W288">
            <v>0</v>
          </cell>
          <cell r="X288">
            <v>0</v>
          </cell>
          <cell r="Y288" t="str">
            <v/>
          </cell>
          <cell r="Z288" t="str">
            <v/>
          </cell>
          <cell r="AA288" t="str">
            <v/>
          </cell>
          <cell r="AB288" t="str">
            <v/>
          </cell>
          <cell r="AC288" t="str">
            <v/>
          </cell>
          <cell r="AD288" t="str">
            <v/>
          </cell>
          <cell r="AG288">
            <v>0</v>
          </cell>
        </row>
        <row r="289">
          <cell r="E289" t="str">
            <v>Tajikistan</v>
          </cell>
          <cell r="F289" t="str">
            <v>Tajikistan</v>
          </cell>
          <cell r="G289">
            <v>6.8786369999999994</v>
          </cell>
          <cell r="H289">
            <v>4.094729</v>
          </cell>
          <cell r="I289">
            <v>22111.536600000007</v>
          </cell>
          <cell r="J289">
            <v>22111.536600000007</v>
          </cell>
          <cell r="K289">
            <v>22111.536600000007</v>
          </cell>
          <cell r="L289">
            <v>0.54</v>
          </cell>
          <cell r="M289">
            <v>2006</v>
          </cell>
          <cell r="N289" t="str">
            <v>15-64</v>
          </cell>
          <cell r="O289" t="str">
            <v>UNODC (GAP survey)</v>
          </cell>
          <cell r="Q289" t="str">
            <v>i</v>
          </cell>
          <cell r="S289" t="str">
            <v>Y</v>
          </cell>
          <cell r="T289">
            <v>0.54</v>
          </cell>
          <cell r="U289">
            <v>0.54</v>
          </cell>
          <cell r="AG289">
            <v>0</v>
          </cell>
        </row>
        <row r="290">
          <cell r="E290" t="str">
            <v>Uzbekistan</v>
          </cell>
          <cell r="F290" t="str">
            <v>Uzbekistan</v>
          </cell>
          <cell r="G290">
            <v>27.444702</v>
          </cell>
          <cell r="H290">
            <v>18.191577000000002</v>
          </cell>
          <cell r="I290">
            <v>145532.616</v>
          </cell>
          <cell r="J290">
            <v>145532.616</v>
          </cell>
          <cell r="K290">
            <v>145532.616</v>
          </cell>
          <cell r="L290">
            <v>0.8</v>
          </cell>
          <cell r="M290">
            <v>2006</v>
          </cell>
          <cell r="N290" t="str">
            <v>15-64</v>
          </cell>
          <cell r="O290" t="str">
            <v>UNODC (GAP survey)</v>
          </cell>
          <cell r="Q290" t="str">
            <v>i</v>
          </cell>
          <cell r="S290" t="str">
            <v>Y</v>
          </cell>
          <cell r="T290">
            <v>0.8</v>
          </cell>
          <cell r="U290">
            <v>0.8</v>
          </cell>
        </row>
        <row r="291">
          <cell r="E291" t="str">
            <v>Turkmenistan</v>
          </cell>
          <cell r="F291" t="str">
            <v>Turkmenistan</v>
          </cell>
          <cell r="G291">
            <v>5.041995</v>
          </cell>
          <cell r="H291">
            <v>3.360373</v>
          </cell>
          <cell r="I291">
            <v>10753.1936</v>
          </cell>
          <cell r="J291">
            <v>10753.1936</v>
          </cell>
          <cell r="K291">
            <v>10753.1936</v>
          </cell>
          <cell r="L291">
            <v>0.32</v>
          </cell>
          <cell r="M291">
            <v>2007</v>
          </cell>
          <cell r="N291" t="str">
            <v>15-64</v>
          </cell>
          <cell r="O291" t="str">
            <v>ARQ</v>
          </cell>
          <cell r="S291" t="str">
            <v>Y</v>
          </cell>
          <cell r="T291">
            <v>0.32</v>
          </cell>
          <cell r="U291">
            <v>0.32</v>
          </cell>
        </row>
        <row r="293">
          <cell r="E293" t="str">
            <v>Subtotal I</v>
          </cell>
          <cell r="G293">
            <v>77.358023</v>
          </cell>
          <cell r="H293">
            <v>51.954978000000004</v>
          </cell>
          <cell r="I293">
            <v>447013.2090576363</v>
          </cell>
          <cell r="J293">
            <v>480224.35319866077</v>
          </cell>
          <cell r="K293">
            <v>463618.78112814855</v>
          </cell>
          <cell r="L293">
            <v>0.8923471801453722</v>
          </cell>
        </row>
        <row r="296">
          <cell r="E296" t="str">
            <v>Subtotal II</v>
          </cell>
          <cell r="G296">
            <v>0</v>
          </cell>
          <cell r="H296">
            <v>0</v>
          </cell>
          <cell r="I296">
            <v>0</v>
          </cell>
          <cell r="J296">
            <v>0</v>
          </cell>
          <cell r="K296">
            <v>0</v>
          </cell>
        </row>
        <row r="298">
          <cell r="E298" t="str">
            <v>Total CA&amp;T</v>
          </cell>
          <cell r="F298">
            <v>1</v>
          </cell>
          <cell r="G298">
            <v>77.358023</v>
          </cell>
          <cell r="H298">
            <v>51.954978000000004</v>
          </cell>
          <cell r="I298">
            <v>447013.2090576363</v>
          </cell>
          <cell r="J298">
            <v>480224.35319866077</v>
          </cell>
          <cell r="K298">
            <v>463618.78112814855</v>
          </cell>
        </row>
        <row r="299">
          <cell r="F299" t="str">
            <v>MIN</v>
          </cell>
          <cell r="H299">
            <v>51.954978000000004</v>
          </cell>
          <cell r="I299">
            <v>447013.2090576363</v>
          </cell>
          <cell r="L299">
            <v>0.8603857152198895</v>
          </cell>
          <cell r="T299">
            <v>0.29511542650054734</v>
          </cell>
          <cell r="U299">
            <v>1.4947697366136095</v>
          </cell>
        </row>
        <row r="300">
          <cell r="F300" t="str">
            <v>MAX</v>
          </cell>
          <cell r="H300">
            <v>51.954978000000004</v>
          </cell>
          <cell r="I300">
            <v>480224.35319866077</v>
          </cell>
          <cell r="L300">
            <v>0.9243086450708548</v>
          </cell>
        </row>
        <row r="301">
          <cell r="F301" t="str">
            <v>BE</v>
          </cell>
          <cell r="H301">
            <v>51.954978000000004</v>
          </cell>
          <cell r="I301">
            <v>463618.78112814855</v>
          </cell>
          <cell r="L301">
            <v>0.8923471801453722</v>
          </cell>
        </row>
        <row r="304">
          <cell r="AG304" t="str">
            <v>Updated from WDR 2011</v>
          </cell>
        </row>
        <row r="305">
          <cell r="V305" t="str">
            <v>BE</v>
          </cell>
          <cell r="W305" t="str">
            <v>Max</v>
          </cell>
          <cell r="X305" t="str">
            <v>Min</v>
          </cell>
          <cell r="Y305" t="str">
            <v>Opium</v>
          </cell>
          <cell r="Z305" t="str">
            <v>Prescription opioids</v>
          </cell>
          <cell r="AA305" t="str">
            <v>Heroin</v>
          </cell>
          <cell r="AB305" t="str">
            <v>Heroin</v>
          </cell>
          <cell r="AC305" t="str">
            <v>Opioids</v>
          </cell>
          <cell r="AD305" t="str">
            <v>Prescription opioids</v>
          </cell>
          <cell r="AE305" t="str">
            <v>ProblemUsers</v>
          </cell>
          <cell r="AF305" t="str">
            <v>IDU</v>
          </cell>
        </row>
        <row r="306">
          <cell r="E306" t="str">
            <v>Cambodia</v>
          </cell>
          <cell r="F306" t="str">
            <v>Cambodia</v>
          </cell>
          <cell r="G306">
            <v>14.138255</v>
          </cell>
          <cell r="H306">
            <v>9.09027</v>
          </cell>
          <cell r="I306">
            <v>3183.5652309232955</v>
          </cell>
          <cell r="J306">
            <v>3183.5652309232955</v>
          </cell>
          <cell r="K306">
            <v>3183.5652309232955</v>
          </cell>
          <cell r="L306">
            <v>0.035021679564229614</v>
          </cell>
          <cell r="M306">
            <v>2007</v>
          </cell>
          <cell r="N306" t="str">
            <v>15-64</v>
          </cell>
          <cell r="O306" t="str">
            <v>Government source</v>
          </cell>
          <cell r="P306" t="str">
            <v>I</v>
          </cell>
          <cell r="R306" t="str">
            <v>Number of estimated opiate users and TX multiplier</v>
          </cell>
          <cell r="S306" t="str">
            <v>Y</v>
          </cell>
          <cell r="T306">
            <v>0.035021679564229614</v>
          </cell>
          <cell r="U306">
            <v>0.035021679564229614</v>
          </cell>
          <cell r="AG306">
            <v>1</v>
          </cell>
        </row>
        <row r="307">
          <cell r="E307" t="str">
            <v>China</v>
          </cell>
          <cell r="F307" t="str">
            <v>China</v>
          </cell>
          <cell r="G307">
            <v>1341.335152</v>
          </cell>
          <cell r="H307">
            <v>970.532065</v>
          </cell>
          <cell r="I307">
            <v>1844010.9235</v>
          </cell>
          <cell r="J307">
            <v>3008649.4014999997</v>
          </cell>
          <cell r="K307">
            <v>2426330.1625</v>
          </cell>
          <cell r="L307">
            <v>0.25</v>
          </cell>
          <cell r="M307">
            <v>2005</v>
          </cell>
          <cell r="N307" t="str">
            <v>15-64</v>
          </cell>
          <cell r="O307" t="str">
            <v>Academic research/ Reference Group to the UN on HIV and IDU</v>
          </cell>
          <cell r="P307" t="str">
            <v>I</v>
          </cell>
          <cell r="R307" t="str">
            <v>Lu Wang 2006, Reference Group to the UN on HIV and IDU  Reference group, 1.8 to 2.9 mio IDUs </v>
          </cell>
          <cell r="S307" t="str">
            <v>Y</v>
          </cell>
          <cell r="T307">
            <v>0.19</v>
          </cell>
          <cell r="U307">
            <v>0.31</v>
          </cell>
        </row>
        <row r="308">
          <cell r="E308" t="str">
            <v>China, Hong Kong SAR</v>
          </cell>
          <cell r="F308" t="str">
            <v>China, Hong Kong SAR</v>
          </cell>
          <cell r="G308">
            <v>7.053189000000001</v>
          </cell>
          <cell r="H308">
            <v>5.343082000000001</v>
          </cell>
          <cell r="I308">
            <v>10686.164</v>
          </cell>
          <cell r="J308">
            <v>10686.164</v>
          </cell>
          <cell r="K308">
            <v>10686.164</v>
          </cell>
          <cell r="L308">
            <v>0.2</v>
          </cell>
          <cell r="M308">
            <v>2006</v>
          </cell>
          <cell r="N308" t="str">
            <v>15-64</v>
          </cell>
          <cell r="O308" t="str">
            <v>ARQ</v>
          </cell>
          <cell r="S308" t="str">
            <v>Y</v>
          </cell>
          <cell r="T308">
            <v>0.2</v>
          </cell>
          <cell r="U308">
            <v>0.2</v>
          </cell>
          <cell r="V308">
            <v>0</v>
          </cell>
          <cell r="W308">
            <v>0</v>
          </cell>
          <cell r="X308">
            <v>0</v>
          </cell>
          <cell r="Y308" t="str">
            <v/>
          </cell>
          <cell r="Z308" t="str">
            <v/>
          </cell>
          <cell r="AA308" t="str">
            <v/>
          </cell>
          <cell r="AB308" t="str">
            <v/>
          </cell>
          <cell r="AC308" t="str">
            <v/>
          </cell>
          <cell r="AD308" t="str">
            <v/>
          </cell>
        </row>
        <row r="309">
          <cell r="E309" t="str">
            <v>China, Macao SAR</v>
          </cell>
          <cell r="F309" t="str">
            <v>China, Macao SAR</v>
          </cell>
          <cell r="G309">
            <v>0.5436559999999999</v>
          </cell>
          <cell r="H309">
            <v>0.434112</v>
          </cell>
          <cell r="I309">
            <v>4862.054400000001</v>
          </cell>
          <cell r="J309">
            <v>4862.054400000001</v>
          </cell>
          <cell r="K309">
            <v>4862.054400000001</v>
          </cell>
          <cell r="L309">
            <v>1.12</v>
          </cell>
          <cell r="M309">
            <v>2003</v>
          </cell>
          <cell r="N309" t="str">
            <v>15-64</v>
          </cell>
          <cell r="O309" t="str">
            <v>ARQ</v>
          </cell>
          <cell r="S309" t="str">
            <v>Y</v>
          </cell>
          <cell r="T309">
            <v>1.12</v>
          </cell>
          <cell r="U309">
            <v>1.12</v>
          </cell>
        </row>
        <row r="310">
          <cell r="E310" t="str">
            <v>Indonesia</v>
          </cell>
          <cell r="F310" t="str">
            <v>Indonesia</v>
          </cell>
          <cell r="G310">
            <v>239.870937</v>
          </cell>
          <cell r="H310">
            <v>161.699164</v>
          </cell>
          <cell r="I310">
            <v>822848.3712873756</v>
          </cell>
          <cell r="J310">
            <v>822848.3712873756</v>
          </cell>
          <cell r="K310">
            <v>822848.3712873756</v>
          </cell>
          <cell r="L310">
            <v>0.5088760825549943</v>
          </cell>
          <cell r="M310">
            <v>2010</v>
          </cell>
          <cell r="N310" t="str">
            <v>15-64</v>
          </cell>
          <cell r="O310" t="str">
            <v>UNODC Estimate</v>
          </cell>
          <cell r="P310" t="str">
            <v>I</v>
          </cell>
          <cell r="S310" t="str">
            <v>Y</v>
          </cell>
          <cell r="T310">
            <v>0.5088760825549943</v>
          </cell>
          <cell r="U310">
            <v>0.5088760825549943</v>
          </cell>
          <cell r="AB310">
            <v>0.03</v>
          </cell>
          <cell r="AE310" t="str">
            <v>1,476,603</v>
          </cell>
          <cell r="AG310">
            <v>1</v>
          </cell>
        </row>
        <row r="311">
          <cell r="E311" t="str">
            <v>Korea (Republic of)</v>
          </cell>
          <cell r="F311" t="str">
            <v>Korea (Republic of)</v>
          </cell>
          <cell r="G311">
            <v>48.183584</v>
          </cell>
          <cell r="H311">
            <v>34.896444</v>
          </cell>
          <cell r="I311">
            <v>20937.8664</v>
          </cell>
          <cell r="J311">
            <v>34896.444</v>
          </cell>
          <cell r="K311">
            <v>27917.1552</v>
          </cell>
          <cell r="L311">
            <v>0.08</v>
          </cell>
          <cell r="M311">
            <v>2004</v>
          </cell>
          <cell r="N311" t="str">
            <v>15-64</v>
          </cell>
          <cell r="O311" t="str">
            <v>ARQ</v>
          </cell>
          <cell r="P311" t="str">
            <v>HHS</v>
          </cell>
          <cell r="Q311" t="str">
            <v>a,e</v>
          </cell>
          <cell r="R311" t="str">
            <v>based on life-time 0.5% and US and Thailand</v>
          </cell>
          <cell r="S311" t="str">
            <v>Y</v>
          </cell>
          <cell r="T311">
            <v>0.06</v>
          </cell>
          <cell r="U311">
            <v>0.1</v>
          </cell>
          <cell r="AG311">
            <v>0</v>
          </cell>
        </row>
        <row r="312">
          <cell r="E312" t="str">
            <v>Lao People's Democratic Republic</v>
          </cell>
          <cell r="F312" t="str">
            <v>Lao People's Democratic Republic</v>
          </cell>
          <cell r="G312">
            <v>6.200894</v>
          </cell>
          <cell r="H312">
            <v>3.820949</v>
          </cell>
          <cell r="I312">
            <v>14137.511299999998</v>
          </cell>
          <cell r="J312">
            <v>14137.511299999998</v>
          </cell>
          <cell r="K312">
            <v>14137.511299999998</v>
          </cell>
          <cell r="L312">
            <v>0.37</v>
          </cell>
          <cell r="M312">
            <v>2008</v>
          </cell>
          <cell r="N312" t="str">
            <v>15-64</v>
          </cell>
          <cell r="O312" t="str">
            <v>UNODC (ICMP)</v>
          </cell>
          <cell r="P312" t="str">
            <v>HHS</v>
          </cell>
          <cell r="Q312" t="str">
            <v>a, c</v>
          </cell>
          <cell r="R312" t="str">
            <v>Laos Opium Survey 2008 Based on addicts of 11 Provinces</v>
          </cell>
          <cell r="S312" t="str">
            <v>Y</v>
          </cell>
          <cell r="T312">
            <v>0.37</v>
          </cell>
          <cell r="U312">
            <v>0.37</v>
          </cell>
        </row>
        <row r="313">
          <cell r="E313" t="str">
            <v>Malaysia</v>
          </cell>
          <cell r="F313" t="str">
            <v>Malaysia</v>
          </cell>
          <cell r="G313">
            <v>28.401017</v>
          </cell>
          <cell r="H313">
            <v>18.430511</v>
          </cell>
          <cell r="I313">
            <v>173246.8034</v>
          </cell>
          <cell r="J313">
            <v>173246.8034</v>
          </cell>
          <cell r="K313">
            <v>173246.8034</v>
          </cell>
          <cell r="L313">
            <v>0.94</v>
          </cell>
          <cell r="M313">
            <v>2009</v>
          </cell>
          <cell r="N313" t="str">
            <v>15-64</v>
          </cell>
          <cell r="O313" t="str">
            <v>SMART</v>
          </cell>
          <cell r="P313" t="str">
            <v>I</v>
          </cell>
          <cell r="S313" t="str">
            <v>Y</v>
          </cell>
          <cell r="T313">
            <v>0.94</v>
          </cell>
          <cell r="U313">
            <v>0.94</v>
          </cell>
          <cell r="AG313">
            <v>0</v>
          </cell>
        </row>
        <row r="314">
          <cell r="E314" t="str">
            <v>Myanmar</v>
          </cell>
          <cell r="F314" t="str">
            <v>Myanmar</v>
          </cell>
          <cell r="G314">
            <v>47.963012</v>
          </cell>
          <cell r="H314">
            <v>33.20632</v>
          </cell>
          <cell r="I314">
            <v>232444.24</v>
          </cell>
          <cell r="J314">
            <v>298856.88</v>
          </cell>
          <cell r="K314">
            <v>265650.56</v>
          </cell>
          <cell r="L314">
            <v>0.8</v>
          </cell>
          <cell r="M314">
            <v>2010</v>
          </cell>
          <cell r="N314" t="str">
            <v>15-64</v>
          </cell>
          <cell r="O314" t="str">
            <v>UNODC (ICMP)</v>
          </cell>
          <cell r="P314" t="str">
            <v>HHS</v>
          </cell>
          <cell r="Q314" t="str">
            <v>a,c</v>
          </cell>
          <cell r="R314" t="str">
            <v>Opium Survey 2010 1.75%/ 0.6% + Heroin 0.19% &amp; .014% (growing region &amp; in non-growing regions) pop adjusted</v>
          </cell>
          <cell r="S314" t="str">
            <v>Y</v>
          </cell>
          <cell r="T314">
            <v>0.7</v>
          </cell>
          <cell r="U314">
            <v>0.9</v>
          </cell>
        </row>
        <row r="315">
          <cell r="E315" t="str">
            <v>Philippines</v>
          </cell>
          <cell r="F315" t="str">
            <v>Philippines</v>
          </cell>
          <cell r="G315">
            <v>93.260798</v>
          </cell>
          <cell r="H315">
            <v>56.816459</v>
          </cell>
          <cell r="I315">
            <v>28408.2295</v>
          </cell>
          <cell r="J315">
            <v>28408.2295</v>
          </cell>
          <cell r="K315">
            <v>28408.2295</v>
          </cell>
          <cell r="L315">
            <v>0.05</v>
          </cell>
          <cell r="M315">
            <v>2005</v>
          </cell>
          <cell r="N315" t="str">
            <v>15-64</v>
          </cell>
          <cell r="O315" t="str">
            <v>Reference Group to the UN on HIV and IDU</v>
          </cell>
          <cell r="R315" t="str">
            <v>Global Fund 2006</v>
          </cell>
          <cell r="S315" t="str">
            <v>Y</v>
          </cell>
          <cell r="T315">
            <v>0.05</v>
          </cell>
          <cell r="U315">
            <v>0.05</v>
          </cell>
          <cell r="AG315">
            <v>0</v>
          </cell>
        </row>
        <row r="316">
          <cell r="E316" t="str">
            <v>Singapore</v>
          </cell>
          <cell r="F316" t="str">
            <v>Singapore</v>
          </cell>
          <cell r="G316">
            <v>5.086418</v>
          </cell>
          <cell r="H316">
            <v>3.7430909999999997</v>
          </cell>
          <cell r="I316">
            <v>10566.83985976085</v>
          </cell>
          <cell r="J316">
            <v>14170.723245530184</v>
          </cell>
          <cell r="K316">
            <v>12368.781552645518</v>
          </cell>
          <cell r="L316">
            <v>0.3304429828888883</v>
          </cell>
          <cell r="M316">
            <v>2010</v>
          </cell>
          <cell r="N316" t="str">
            <v>15-64</v>
          </cell>
          <cell r="O316" t="str">
            <v>UNODC Estimate</v>
          </cell>
          <cell r="P316" t="str">
            <v>I</v>
          </cell>
          <cell r="R316" t="str">
            <v>Based on opioid users registered and TX multiplier</v>
          </cell>
          <cell r="S316" t="str">
            <v>Y</v>
          </cell>
          <cell r="T316">
            <v>0.2823025104054604</v>
          </cell>
          <cell r="U316">
            <v>0.3785834553723162</v>
          </cell>
          <cell r="AG316">
            <v>1</v>
          </cell>
        </row>
        <row r="317">
          <cell r="E317" t="str">
            <v>Taiwan, Province of China</v>
          </cell>
          <cell r="F317" t="str">
            <v>Taiwan, Province of China</v>
          </cell>
          <cell r="G317">
            <v>23.025</v>
          </cell>
          <cell r="H317">
            <v>16.716150000000003</v>
          </cell>
          <cell r="I317">
            <v>33432.3</v>
          </cell>
          <cell r="J317">
            <v>33432.3</v>
          </cell>
          <cell r="K317">
            <v>33432.3</v>
          </cell>
          <cell r="L317">
            <v>0.2</v>
          </cell>
          <cell r="M317">
            <v>2005</v>
          </cell>
          <cell r="N317" t="str">
            <v>12-64</v>
          </cell>
          <cell r="O317" t="str">
            <v>Government source</v>
          </cell>
          <cell r="S317" t="str">
            <v>Y</v>
          </cell>
          <cell r="T317">
            <v>0.2</v>
          </cell>
          <cell r="U317">
            <v>0.2</v>
          </cell>
        </row>
        <row r="318">
          <cell r="E318" t="str">
            <v>Thailand</v>
          </cell>
          <cell r="F318" t="str">
            <v>Thailand</v>
          </cell>
          <cell r="G318">
            <v>69.12223399999999</v>
          </cell>
          <cell r="H318">
            <v>48.784969</v>
          </cell>
          <cell r="I318">
            <v>97569.93800000001</v>
          </cell>
          <cell r="J318">
            <v>97569.93800000001</v>
          </cell>
          <cell r="K318">
            <v>97569.93800000001</v>
          </cell>
          <cell r="L318">
            <v>0.2</v>
          </cell>
          <cell r="M318">
            <v>2007</v>
          </cell>
          <cell r="N318" t="str">
            <v>15-64</v>
          </cell>
          <cell r="O318" t="str">
            <v>ARQ</v>
          </cell>
          <cell r="P318" t="str">
            <v>HHS</v>
          </cell>
          <cell r="R318" t="str">
            <v>Based on lifetime 0.7 Opium &amp; 0.4 Heroin</v>
          </cell>
          <cell r="S318" t="str">
            <v>Y</v>
          </cell>
          <cell r="T318">
            <v>0.2</v>
          </cell>
          <cell r="U318">
            <v>0.2</v>
          </cell>
        </row>
        <row r="319">
          <cell r="E319" t="str">
            <v>Viet Nam</v>
          </cell>
          <cell r="F319" t="str">
            <v>Viet Nam</v>
          </cell>
          <cell r="G319">
            <v>87.84844500000001</v>
          </cell>
          <cell r="H319">
            <v>61.841971</v>
          </cell>
          <cell r="I319">
            <v>154604.9275</v>
          </cell>
          <cell r="J319">
            <v>173157.51880000002</v>
          </cell>
          <cell r="K319">
            <v>166973.32170000003</v>
          </cell>
          <cell r="L319">
            <v>0.27</v>
          </cell>
          <cell r="M319">
            <v>2005</v>
          </cell>
          <cell r="N319" t="str">
            <v>15-64</v>
          </cell>
          <cell r="O319" t="str">
            <v>INCSR/ Reference Group to the UN on HIV and IDU</v>
          </cell>
          <cell r="R319" t="str">
            <v>INCSR 2007, Reference Group to the UN on HIV and IDU Reference Group figure refers to IDUs</v>
          </cell>
          <cell r="S319" t="str">
            <v>Y</v>
          </cell>
          <cell r="T319">
            <v>0.25</v>
          </cell>
          <cell r="U319">
            <v>0.28</v>
          </cell>
        </row>
        <row r="323">
          <cell r="E323" t="str">
            <v>Subtotal I</v>
          </cell>
          <cell r="G323">
            <v>2012.0325910000004</v>
          </cell>
          <cell r="H323">
            <v>1425.3555569999999</v>
          </cell>
          <cell r="I323">
            <v>3450939.7343780603</v>
          </cell>
          <cell r="J323">
            <v>4718105.904663829</v>
          </cell>
          <cell r="K323">
            <v>4087614.918070944</v>
          </cell>
          <cell r="L323">
            <v>0.2867786145005323</v>
          </cell>
        </row>
        <row r="327">
          <cell r="E327" t="str">
            <v>Brunei Darussalam</v>
          </cell>
          <cell r="F327" t="str">
            <v>Brunei Darussalam</v>
          </cell>
          <cell r="G327">
            <v>0.39892</v>
          </cell>
          <cell r="H327">
            <v>0.280203</v>
          </cell>
          <cell r="I327">
            <v>0</v>
          </cell>
          <cell r="J327">
            <v>0</v>
          </cell>
          <cell r="S327" t="str">
            <v>N</v>
          </cell>
        </row>
        <row r="328">
          <cell r="E328" t="str">
            <v>Japan</v>
          </cell>
          <cell r="F328" t="str">
            <v>Japan</v>
          </cell>
          <cell r="G328">
            <v>126.53592</v>
          </cell>
          <cell r="H328">
            <v>80.926012</v>
          </cell>
          <cell r="I328">
            <v>0</v>
          </cell>
          <cell r="J328">
            <v>0</v>
          </cell>
          <cell r="S328" t="str">
            <v>N</v>
          </cell>
        </row>
        <row r="329">
          <cell r="E329" t="str">
            <v>Korea (Dem. People's Rep.)</v>
          </cell>
          <cell r="F329" t="str">
            <v>Korea (Dem. People's Rep.)</v>
          </cell>
          <cell r="G329">
            <v>24.346229</v>
          </cell>
          <cell r="H329">
            <v>16.460783</v>
          </cell>
          <cell r="I329">
            <v>0</v>
          </cell>
          <cell r="J329">
            <v>0</v>
          </cell>
          <cell r="S329" t="str">
            <v>N</v>
          </cell>
        </row>
        <row r="330">
          <cell r="E330" t="str">
            <v>Mongolia</v>
          </cell>
          <cell r="F330" t="str">
            <v>Mongolia</v>
          </cell>
          <cell r="G330">
            <v>2.7560010000000004</v>
          </cell>
          <cell r="H330">
            <v>1.882827</v>
          </cell>
          <cell r="I330">
            <v>0</v>
          </cell>
          <cell r="J330">
            <v>0</v>
          </cell>
          <cell r="S330" t="str">
            <v>N</v>
          </cell>
        </row>
        <row r="331">
          <cell r="E331" t="str">
            <v>Timor-Leste</v>
          </cell>
          <cell r="F331" t="str">
            <v>Timor-Leste</v>
          </cell>
          <cell r="G331">
            <v>1.124355</v>
          </cell>
          <cell r="H331">
            <v>0.571803</v>
          </cell>
          <cell r="I331">
            <v>0</v>
          </cell>
          <cell r="J331">
            <v>0</v>
          </cell>
          <cell r="S331" t="str">
            <v>N</v>
          </cell>
        </row>
        <row r="333">
          <cell r="E333" t="str">
            <v>Subtotal II</v>
          </cell>
          <cell r="G333">
            <v>155.161425</v>
          </cell>
          <cell r="H333">
            <v>100.12162800000002</v>
          </cell>
          <cell r="I333">
            <v>0</v>
          </cell>
          <cell r="J333">
            <v>0</v>
          </cell>
          <cell r="K333">
            <v>287127.41759377706</v>
          </cell>
        </row>
        <row r="335">
          <cell r="E335" t="str">
            <v>Total E&amp;SE Asia</v>
          </cell>
          <cell r="F335">
            <v>1</v>
          </cell>
          <cell r="G335">
            <v>2167.1940160000004</v>
          </cell>
          <cell r="H335">
            <v>1525.477185</v>
          </cell>
          <cell r="I335">
            <v>3450939.7343780603</v>
          </cell>
          <cell r="J335">
            <v>4718105.904663829</v>
          </cell>
          <cell r="K335">
            <v>4374742.335664721</v>
          </cell>
          <cell r="T335">
            <v>0.053</v>
          </cell>
          <cell r="U335">
            <v>0.928</v>
          </cell>
        </row>
        <row r="336">
          <cell r="F336" t="str">
            <v>MIN</v>
          </cell>
          <cell r="H336">
            <v>1525.477185</v>
          </cell>
          <cell r="I336">
            <v>3504004.1972180605</v>
          </cell>
          <cell r="L336">
            <v>0.22969889236449387</v>
          </cell>
        </row>
        <row r="337">
          <cell r="F337" t="str">
            <v>MAX</v>
          </cell>
          <cell r="H337">
            <v>1525.477185</v>
          </cell>
          <cell r="I337">
            <v>5647234.612503829</v>
          </cell>
          <cell r="L337">
            <v>0.37019462945975357</v>
          </cell>
        </row>
        <row r="338">
          <cell r="F338" t="str">
            <v>BE</v>
          </cell>
          <cell r="H338">
            <v>1525.477185</v>
          </cell>
          <cell r="I338">
            <v>4374742.335664721</v>
          </cell>
          <cell r="L338">
            <v>0.28677861450053227</v>
          </cell>
        </row>
        <row r="340">
          <cell r="AG340" t="str">
            <v>Updated from WDR 2011</v>
          </cell>
        </row>
        <row r="343">
          <cell r="V343" t="str">
            <v>BE</v>
          </cell>
          <cell r="W343" t="str">
            <v>Max</v>
          </cell>
          <cell r="X343" t="str">
            <v>Min</v>
          </cell>
          <cell r="Y343" t="str">
            <v>Opium</v>
          </cell>
          <cell r="Z343" t="str">
            <v>Prescription opioids</v>
          </cell>
          <cell r="AA343" t="str">
            <v>Heroin</v>
          </cell>
          <cell r="AB343" t="str">
            <v>Heroin</v>
          </cell>
          <cell r="AC343" t="str">
            <v>Opioids</v>
          </cell>
          <cell r="AD343" t="str">
            <v>Prescription opioids</v>
          </cell>
          <cell r="AE343" t="str">
            <v>ProblemUsers</v>
          </cell>
          <cell r="AF343" t="str">
            <v>IDU</v>
          </cell>
        </row>
        <row r="344">
          <cell r="E344" t="str">
            <v>Afghanistan</v>
          </cell>
          <cell r="F344" t="str">
            <v>Afghanistan</v>
          </cell>
          <cell r="G344">
            <v>31.411742999999998</v>
          </cell>
          <cell r="H344">
            <v>16.118842</v>
          </cell>
          <cell r="I344">
            <v>427149.31299999997</v>
          </cell>
          <cell r="J344">
            <v>515802.9440000001</v>
          </cell>
          <cell r="K344">
            <v>470670.1864</v>
          </cell>
          <cell r="L344">
            <v>2.92</v>
          </cell>
          <cell r="M344">
            <v>2009</v>
          </cell>
          <cell r="N344" t="str">
            <v>15-64</v>
          </cell>
          <cell r="O344" t="str">
            <v>UNODC/ Govt. Source</v>
          </cell>
          <cell r="P344" t="str">
            <v>HHS</v>
          </cell>
          <cell r="S344" t="str">
            <v>Y</v>
          </cell>
          <cell r="T344">
            <v>2.65</v>
          </cell>
          <cell r="U344">
            <v>3.2</v>
          </cell>
        </row>
        <row r="345">
          <cell r="E345" t="str">
            <v>Iran (Islamic Republic of)</v>
          </cell>
          <cell r="F345" t="str">
            <v>Iran (Islamic Republic of)</v>
          </cell>
          <cell r="G345">
            <v>73.97363</v>
          </cell>
          <cell r="H345">
            <v>53.132124000000005</v>
          </cell>
          <cell r="I345">
            <v>1206099.2148</v>
          </cell>
          <cell r="J345">
            <v>1206099.2148</v>
          </cell>
          <cell r="K345">
            <v>1200000</v>
          </cell>
          <cell r="L345">
            <v>2.27</v>
          </cell>
          <cell r="M345">
            <v>2010</v>
          </cell>
          <cell r="N345" t="str">
            <v>15-64</v>
          </cell>
          <cell r="O345" t="str">
            <v>ARQ</v>
          </cell>
          <cell r="R345" t="str">
            <v>Problem drug users RSA 2007</v>
          </cell>
          <cell r="S345" t="str">
            <v>Y</v>
          </cell>
          <cell r="T345">
            <v>2.27</v>
          </cell>
          <cell r="U345">
            <v>2.27</v>
          </cell>
        </row>
        <row r="346">
          <cell r="E346" t="str">
            <v>Israel</v>
          </cell>
          <cell r="F346" t="str">
            <v>Israel</v>
          </cell>
          <cell r="G346">
            <v>7.418399999999999</v>
          </cell>
          <cell r="H346">
            <v>4.62472</v>
          </cell>
          <cell r="I346">
            <v>21273.711999999996</v>
          </cell>
          <cell r="J346">
            <v>36997.759999999995</v>
          </cell>
          <cell r="K346">
            <v>29135.735999999997</v>
          </cell>
          <cell r="L346">
            <v>0.6299999999999999</v>
          </cell>
          <cell r="M346">
            <v>2008</v>
          </cell>
          <cell r="N346" t="str">
            <v>18-40</v>
          </cell>
          <cell r="O346" t="str">
            <v>ARQ</v>
          </cell>
          <cell r="P346" t="str">
            <v>HHS</v>
          </cell>
          <cell r="S346" t="str">
            <v>Y</v>
          </cell>
          <cell r="T346">
            <v>0.45999999999999996</v>
          </cell>
          <cell r="U346">
            <v>0.7999999999999999</v>
          </cell>
          <cell r="V346">
            <v>0.6299999999999999</v>
          </cell>
          <cell r="W346">
            <v>0.7999999999999999</v>
          </cell>
          <cell r="X346">
            <v>0.45999999999999996</v>
          </cell>
          <cell r="Y346" t="str">
            <v/>
          </cell>
          <cell r="Z346">
            <v>0.45999999999999996</v>
          </cell>
          <cell r="AA346">
            <v>0.13</v>
          </cell>
          <cell r="AB346" t="str">
            <v/>
          </cell>
          <cell r="AC346">
            <v>0.21</v>
          </cell>
          <cell r="AD346" t="str">
            <v/>
          </cell>
          <cell r="AG346">
            <v>1</v>
          </cell>
        </row>
        <row r="347">
          <cell r="E347" t="str">
            <v>Kuwait</v>
          </cell>
          <cell r="F347" t="str">
            <v>Kuwait</v>
          </cell>
          <cell r="G347">
            <v>2.736732</v>
          </cell>
          <cell r="H347">
            <v>1.9372239999999998</v>
          </cell>
          <cell r="I347">
            <v>3293.2808</v>
          </cell>
          <cell r="J347">
            <v>3293.2808</v>
          </cell>
          <cell r="K347">
            <v>3293.2808</v>
          </cell>
          <cell r="L347">
            <v>0.17</v>
          </cell>
          <cell r="M347">
            <v>2004</v>
          </cell>
          <cell r="N347" t="str">
            <v>15-64</v>
          </cell>
          <cell r="O347" t="str">
            <v>UNODC Estimate</v>
          </cell>
          <cell r="R347" t="str">
            <v>Based on Treatment data 80% polydrug</v>
          </cell>
          <cell r="S347" t="str">
            <v>Y</v>
          </cell>
          <cell r="T347">
            <v>0.17</v>
          </cell>
          <cell r="U347">
            <v>0.17</v>
          </cell>
        </row>
        <row r="348">
          <cell r="E348" t="str">
            <v>Lebanon</v>
          </cell>
          <cell r="F348" t="str">
            <v>Lebanon</v>
          </cell>
          <cell r="G348">
            <v>4.227596999999999</v>
          </cell>
          <cell r="H348">
            <v>2.871257</v>
          </cell>
          <cell r="I348">
            <v>5742.514</v>
          </cell>
          <cell r="J348">
            <v>5742.514</v>
          </cell>
          <cell r="K348">
            <v>5742.514</v>
          </cell>
          <cell r="L348">
            <v>0.2</v>
          </cell>
          <cell r="M348">
            <v>2003</v>
          </cell>
          <cell r="N348" t="str">
            <v>15-64</v>
          </cell>
          <cell r="O348" t="str">
            <v>ARQ</v>
          </cell>
          <cell r="S348" t="str">
            <v>Y</v>
          </cell>
          <cell r="T348">
            <v>0.2</v>
          </cell>
          <cell r="U348">
            <v>0.2</v>
          </cell>
        </row>
        <row r="349">
          <cell r="E349" t="str">
            <v>Pakistan</v>
          </cell>
          <cell r="F349" t="str">
            <v>Pakistan</v>
          </cell>
          <cell r="G349">
            <v>173.593383</v>
          </cell>
          <cell r="H349">
            <v>104.72446799999999</v>
          </cell>
          <cell r="I349">
            <v>733071.276</v>
          </cell>
          <cell r="J349">
            <v>733071.276</v>
          </cell>
          <cell r="K349">
            <v>733071.276</v>
          </cell>
          <cell r="L349">
            <v>0.7</v>
          </cell>
          <cell r="M349">
            <v>2006</v>
          </cell>
          <cell r="N349" t="str">
            <v>15-64</v>
          </cell>
          <cell r="O349" t="str">
            <v>UNODC (GAP survey)</v>
          </cell>
          <cell r="S349" t="str">
            <v>Y</v>
          </cell>
          <cell r="T349">
            <v>0.7</v>
          </cell>
          <cell r="U349">
            <v>0.7</v>
          </cell>
        </row>
        <row r="350">
          <cell r="E350" t="str">
            <v>Saudi Arabia</v>
          </cell>
          <cell r="F350" t="str">
            <v>Saudi Arabia</v>
          </cell>
          <cell r="G350">
            <v>27.448086</v>
          </cell>
          <cell r="H350">
            <v>18.305537</v>
          </cell>
          <cell r="I350">
            <v>10983.3222</v>
          </cell>
          <cell r="J350">
            <v>10983.3222</v>
          </cell>
          <cell r="K350">
            <v>10983.3222</v>
          </cell>
          <cell r="L350">
            <v>0.06</v>
          </cell>
          <cell r="M350">
            <v>2006</v>
          </cell>
          <cell r="N350" t="str">
            <v>15-64</v>
          </cell>
          <cell r="O350" t="str">
            <v>UNODC Estimate</v>
          </cell>
          <cell r="R350" t="str">
            <v>Based on Treatment data (See ATS for calculations)</v>
          </cell>
          <cell r="S350" t="str">
            <v>Y</v>
          </cell>
          <cell r="T350">
            <v>0.06</v>
          </cell>
          <cell r="U350">
            <v>0.06</v>
          </cell>
        </row>
        <row r="351">
          <cell r="E351" t="str">
            <v>Syrian Arab Republic</v>
          </cell>
          <cell r="F351" t="str">
            <v>Syrian Arab Republic</v>
          </cell>
          <cell r="G351">
            <v>20.410606</v>
          </cell>
          <cell r="H351">
            <v>12.073444</v>
          </cell>
          <cell r="I351">
            <v>2414.6888</v>
          </cell>
          <cell r="J351">
            <v>2414.6888</v>
          </cell>
          <cell r="K351">
            <v>2414.6888</v>
          </cell>
          <cell r="L351">
            <v>0.02</v>
          </cell>
          <cell r="M351">
            <v>2005</v>
          </cell>
          <cell r="N351" t="str">
            <v>15-64</v>
          </cell>
          <cell r="O351" t="str">
            <v>UNODC Estimate</v>
          </cell>
          <cell r="R351" t="str">
            <v>Based on Treatment data and US ratio</v>
          </cell>
          <cell r="S351" t="str">
            <v>Y</v>
          </cell>
          <cell r="T351">
            <v>0.02</v>
          </cell>
          <cell r="U351">
            <v>0.02</v>
          </cell>
        </row>
        <row r="352">
          <cell r="E352" t="str">
            <v>United Arab Emirates</v>
          </cell>
          <cell r="F352" t="str">
            <v>United Arab Emirates</v>
          </cell>
          <cell r="G352">
            <v>7.51169</v>
          </cell>
          <cell r="H352">
            <v>6.200305999999999</v>
          </cell>
          <cell r="I352">
            <v>1240.0611999999999</v>
          </cell>
          <cell r="J352">
            <v>1240.0611999999999</v>
          </cell>
          <cell r="K352">
            <v>1240.0611999999999</v>
          </cell>
          <cell r="L352">
            <v>0.02</v>
          </cell>
          <cell r="M352">
            <v>2004</v>
          </cell>
          <cell r="N352" t="str">
            <v>15-64</v>
          </cell>
          <cell r="O352" t="str">
            <v>UNODC Estimate</v>
          </cell>
          <cell r="R352" t="str">
            <v>Based on treatment data</v>
          </cell>
          <cell r="S352" t="str">
            <v>Y</v>
          </cell>
          <cell r="T352">
            <v>0.02</v>
          </cell>
          <cell r="U352">
            <v>0.02</v>
          </cell>
        </row>
        <row r="357">
          <cell r="E357" t="str">
            <v>Subtotal I</v>
          </cell>
          <cell r="G357">
            <v>348.731867</v>
          </cell>
          <cell r="H357">
            <v>219.98792200000003</v>
          </cell>
          <cell r="I357">
            <v>2411267.3828</v>
          </cell>
          <cell r="J357">
            <v>2515645.0618</v>
          </cell>
          <cell r="K357">
            <v>2456551.0653999997</v>
          </cell>
          <cell r="L357">
            <v>1.1166754261172573</v>
          </cell>
        </row>
        <row r="361">
          <cell r="E361" t="str">
            <v>Bahrain</v>
          </cell>
          <cell r="F361" t="str">
            <v>Bahrain</v>
          </cell>
          <cell r="G361">
            <v>1.261835</v>
          </cell>
          <cell r="H361">
            <v>0.983004</v>
          </cell>
          <cell r="I361">
            <v>0</v>
          </cell>
          <cell r="J361">
            <v>0</v>
          </cell>
          <cell r="S361" t="str">
            <v>N</v>
          </cell>
        </row>
        <row r="362">
          <cell r="E362" t="str">
            <v>Iraq</v>
          </cell>
          <cell r="F362" t="str">
            <v>Iraq</v>
          </cell>
          <cell r="G362">
            <v>31.671591</v>
          </cell>
          <cell r="H362">
            <v>16.967050999999998</v>
          </cell>
          <cell r="I362">
            <v>0</v>
          </cell>
          <cell r="J362">
            <v>0</v>
          </cell>
          <cell r="S362" t="str">
            <v>N</v>
          </cell>
        </row>
        <row r="363">
          <cell r="E363" t="str">
            <v>Jordan</v>
          </cell>
          <cell r="F363" t="str">
            <v>Jordan</v>
          </cell>
          <cell r="G363">
            <v>6.187227</v>
          </cell>
          <cell r="H363">
            <v>3.6242229999999998</v>
          </cell>
          <cell r="I363">
            <v>0</v>
          </cell>
          <cell r="J363">
            <v>0</v>
          </cell>
          <cell r="K363">
            <v>0</v>
          </cell>
          <cell r="S363" t="str">
            <v>N</v>
          </cell>
        </row>
        <row r="364">
          <cell r="E364" t="str">
            <v>Occupied Palestinian Territory</v>
          </cell>
          <cell r="F364" t="str">
            <v>Occupied Palestinian Territory</v>
          </cell>
          <cell r="G364">
            <v>4.039192</v>
          </cell>
          <cell r="H364">
            <v>2.211763</v>
          </cell>
          <cell r="I364">
            <v>0</v>
          </cell>
          <cell r="J364">
            <v>0</v>
          </cell>
          <cell r="S364" t="str">
            <v>N</v>
          </cell>
        </row>
        <row r="365">
          <cell r="E365" t="str">
            <v>Oman</v>
          </cell>
          <cell r="F365" t="str">
            <v>Oman</v>
          </cell>
          <cell r="G365">
            <v>2.782435</v>
          </cell>
          <cell r="H365">
            <v>1.9559870000000001</v>
          </cell>
          <cell r="I365">
            <v>0</v>
          </cell>
          <cell r="J365">
            <v>0</v>
          </cell>
          <cell r="S365" t="str">
            <v>N</v>
          </cell>
        </row>
        <row r="366">
          <cell r="E366" t="str">
            <v>Qatar</v>
          </cell>
          <cell r="F366" t="str">
            <v>Qatar</v>
          </cell>
          <cell r="G366">
            <v>1.7587929999999998</v>
          </cell>
          <cell r="H366">
            <v>1.503394</v>
          </cell>
          <cell r="I366">
            <v>0</v>
          </cell>
          <cell r="J366">
            <v>0</v>
          </cell>
          <cell r="S366" t="str">
            <v>N</v>
          </cell>
        </row>
        <row r="367">
          <cell r="E367" t="str">
            <v>Yemen</v>
          </cell>
          <cell r="F367" t="str">
            <v>Yemen</v>
          </cell>
          <cell r="G367">
            <v>24.052514</v>
          </cell>
          <cell r="H367">
            <v>12.799923000000001</v>
          </cell>
          <cell r="I367">
            <v>0</v>
          </cell>
          <cell r="J367">
            <v>0</v>
          </cell>
          <cell r="S367" t="str">
            <v>N</v>
          </cell>
        </row>
        <row r="369">
          <cell r="E369" t="str">
            <v>Subtotal II</v>
          </cell>
          <cell r="G369">
            <v>71.753587</v>
          </cell>
          <cell r="H369">
            <v>40.045345000000005</v>
          </cell>
          <cell r="I369">
            <v>0</v>
          </cell>
          <cell r="J369">
            <v>0</v>
          </cell>
          <cell r="K369">
            <v>447176.52691887587</v>
          </cell>
        </row>
        <row r="371">
          <cell r="E371" t="str">
            <v>Total N&amp;ME</v>
          </cell>
          <cell r="F371">
            <v>1</v>
          </cell>
          <cell r="G371">
            <v>420.485454</v>
          </cell>
          <cell r="H371">
            <v>260.033267</v>
          </cell>
          <cell r="I371">
            <v>2411267.3828</v>
          </cell>
          <cell r="J371">
            <v>2515645.0618</v>
          </cell>
          <cell r="K371">
            <v>2903727.5923188757</v>
          </cell>
          <cell r="T371">
            <v>0.02</v>
          </cell>
          <cell r="U371">
            <v>2.4559999999999995</v>
          </cell>
        </row>
        <row r="372">
          <cell r="F372" t="str">
            <v>MIN</v>
          </cell>
          <cell r="H372">
            <v>260.033267</v>
          </cell>
          <cell r="I372">
            <v>2419276.4518</v>
          </cell>
          <cell r="L372">
            <v>0.9303719019151498</v>
          </cell>
        </row>
        <row r="373">
          <cell r="F373" t="str">
            <v>MAX</v>
          </cell>
          <cell r="H373">
            <v>260.033267</v>
          </cell>
          <cell r="I373">
            <v>3499158.7349999994</v>
          </cell>
          <cell r="L373">
            <v>1.3456581057376782</v>
          </cell>
        </row>
        <row r="374">
          <cell r="F374" t="str">
            <v>BE</v>
          </cell>
          <cell r="H374">
            <v>260.033267</v>
          </cell>
          <cell r="I374">
            <v>2903727.5923188757</v>
          </cell>
          <cell r="L374">
            <v>1.1166754261172573</v>
          </cell>
        </row>
        <row r="378">
          <cell r="V378" t="str">
            <v>BE</v>
          </cell>
          <cell r="W378" t="str">
            <v>Max</v>
          </cell>
          <cell r="X378" t="str">
            <v>Min</v>
          </cell>
          <cell r="Y378" t="str">
            <v>Opium</v>
          </cell>
          <cell r="Z378" t="str">
            <v>Prescription opioids</v>
          </cell>
          <cell r="AA378" t="str">
            <v>Heroin</v>
          </cell>
          <cell r="AB378" t="str">
            <v>Heroin</v>
          </cell>
          <cell r="AC378" t="str">
            <v>Opioids</v>
          </cell>
          <cell r="AD378" t="str">
            <v>Prescription opioids</v>
          </cell>
          <cell r="AE378" t="str">
            <v>ProblemUsers</v>
          </cell>
          <cell r="AF378" t="str">
            <v>IDU</v>
          </cell>
        </row>
        <row r="379">
          <cell r="E379" t="str">
            <v>Bangladesh</v>
          </cell>
          <cell r="F379" t="str">
            <v>Bangladesh</v>
          </cell>
          <cell r="G379">
            <v>148.692131</v>
          </cell>
          <cell r="H379">
            <v>95.329163</v>
          </cell>
          <cell r="I379">
            <v>381316.652</v>
          </cell>
          <cell r="J379">
            <v>381316.652</v>
          </cell>
          <cell r="K379">
            <v>381316.652</v>
          </cell>
          <cell r="L379">
            <v>0.4</v>
          </cell>
          <cell r="M379">
            <v>2003</v>
          </cell>
          <cell r="N379" t="str">
            <v>15-64</v>
          </cell>
          <cell r="O379" t="str">
            <v>ARQ</v>
          </cell>
          <cell r="P379" t="str">
            <v>HHS</v>
          </cell>
          <cell r="Q379" t="str">
            <v>a, e</v>
          </cell>
          <cell r="R379" t="str">
            <v>18 years and above</v>
          </cell>
          <cell r="S379" t="str">
            <v>Y</v>
          </cell>
          <cell r="T379">
            <v>0.4</v>
          </cell>
          <cell r="U379">
            <v>0.4</v>
          </cell>
        </row>
        <row r="380">
          <cell r="E380" t="str">
            <v>India</v>
          </cell>
          <cell r="F380" t="str">
            <v>India</v>
          </cell>
          <cell r="G380">
            <v>1224.614327</v>
          </cell>
          <cell r="H380">
            <v>789.749618</v>
          </cell>
          <cell r="I380">
            <v>1651671.942686892</v>
          </cell>
          <cell r="J380">
            <v>3041631.270366892</v>
          </cell>
          <cell r="K380">
            <v>2346651.606526892</v>
          </cell>
          <cell r="L380">
            <v>0.29713868206352106</v>
          </cell>
          <cell r="R380" t="str">
            <v>DEVIATE- Keeps India in subregional as per AM</v>
          </cell>
          <cell r="S380" t="str">
            <v>N</v>
          </cell>
        </row>
        <row r="381">
          <cell r="E381" t="str">
            <v>Nepal</v>
          </cell>
          <cell r="F381" t="str">
            <v>Nepal</v>
          </cell>
          <cell r="G381">
            <v>29.959364</v>
          </cell>
          <cell r="H381">
            <v>17.867729</v>
          </cell>
          <cell r="I381">
            <v>32161.9122</v>
          </cell>
          <cell r="J381">
            <v>51816.414099999995</v>
          </cell>
          <cell r="K381">
            <v>42882.5496</v>
          </cell>
          <cell r="L381">
            <v>0.24</v>
          </cell>
          <cell r="M381">
            <v>2006</v>
          </cell>
          <cell r="N381" t="str">
            <v>15-64</v>
          </cell>
          <cell r="O381" t="str">
            <v>Government source</v>
          </cell>
          <cell r="P381" t="str">
            <v>I, b</v>
          </cell>
          <cell r="S381" t="str">
            <v>Y</v>
          </cell>
          <cell r="T381">
            <v>0.18</v>
          </cell>
          <cell r="U381">
            <v>0.29</v>
          </cell>
        </row>
        <row r="382">
          <cell r="E382" t="str">
            <v>Sri Lanka</v>
          </cell>
          <cell r="F382" t="str">
            <v>Sri Lanka</v>
          </cell>
          <cell r="G382">
            <v>20.859949</v>
          </cell>
          <cell r="H382">
            <v>13.96779</v>
          </cell>
          <cell r="I382">
            <v>45492.17159700145</v>
          </cell>
          <cell r="J382">
            <v>45492.17159700145</v>
          </cell>
          <cell r="K382">
            <v>45492.17159700145</v>
          </cell>
          <cell r="L382">
            <v>0.32569341031760535</v>
          </cell>
          <cell r="M382">
            <v>2010</v>
          </cell>
          <cell r="N382" t="str">
            <v>15-64</v>
          </cell>
          <cell r="O382" t="str">
            <v>ARQ</v>
          </cell>
          <cell r="R382" t="str">
            <v>Based on opioid users registered</v>
          </cell>
          <cell r="S382" t="str">
            <v>Y</v>
          </cell>
          <cell r="T382">
            <v>0.32569341031760535</v>
          </cell>
          <cell r="U382">
            <v>0.32569341031760535</v>
          </cell>
        </row>
        <row r="385">
          <cell r="E385" t="str">
            <v>Subtotal I</v>
          </cell>
          <cell r="G385">
            <v>1424.125771</v>
          </cell>
          <cell r="H385">
            <v>916.9143000000001</v>
          </cell>
          <cell r="I385">
            <v>2110642.6784838936</v>
          </cell>
          <cell r="J385">
            <v>3520256.5080638938</v>
          </cell>
          <cell r="K385">
            <v>2816342.979723894</v>
          </cell>
          <cell r="L385">
            <v>0.3071544395941795</v>
          </cell>
        </row>
        <row r="388">
          <cell r="E388" t="str">
            <v>Bhutan</v>
          </cell>
          <cell r="F388" t="str">
            <v>Bhutan</v>
          </cell>
          <cell r="G388">
            <v>0.72594</v>
          </cell>
          <cell r="H388">
            <v>0.477665</v>
          </cell>
          <cell r="I388">
            <v>0</v>
          </cell>
          <cell r="J388">
            <v>0</v>
          </cell>
          <cell r="S388" t="str">
            <v>N</v>
          </cell>
          <cell r="AG388">
            <v>0</v>
          </cell>
        </row>
        <row r="389">
          <cell r="E389" t="str">
            <v>Maldives</v>
          </cell>
          <cell r="F389" t="str">
            <v>Maldives</v>
          </cell>
          <cell r="G389">
            <v>0.31588499999999997</v>
          </cell>
          <cell r="H389">
            <v>0.215327</v>
          </cell>
          <cell r="I389">
            <v>0</v>
          </cell>
          <cell r="J389">
            <v>0</v>
          </cell>
          <cell r="S389" t="str">
            <v>N</v>
          </cell>
        </row>
        <row r="391">
          <cell r="E391" t="str">
            <v>Subtotal II</v>
          </cell>
          <cell r="G391">
            <v>1.041825</v>
          </cell>
          <cell r="H391">
            <v>0.692992</v>
          </cell>
          <cell r="I391">
            <v>0</v>
          </cell>
          <cell r="J391">
            <v>0</v>
          </cell>
          <cell r="K391">
            <v>2128.5556940324964</v>
          </cell>
        </row>
        <row r="393">
          <cell r="E393" t="str">
            <v>Total S.Asia:</v>
          </cell>
          <cell r="F393">
            <v>1</v>
          </cell>
          <cell r="G393">
            <v>1425.167596</v>
          </cell>
          <cell r="H393">
            <v>917.6072920000001</v>
          </cell>
          <cell r="I393">
            <v>2110642.6784838936</v>
          </cell>
          <cell r="J393">
            <v>3520256.5080638938</v>
          </cell>
          <cell r="K393">
            <v>2818471.5354179265</v>
          </cell>
          <cell r="T393">
            <v>0.20913868206352107</v>
          </cell>
          <cell r="U393">
            <v>0.3851386820635211</v>
          </cell>
        </row>
        <row r="394">
          <cell r="F394" t="str">
            <v>MIN</v>
          </cell>
          <cell r="H394">
            <v>917.6072920000001</v>
          </cell>
          <cell r="I394">
            <v>2112091.992819499</v>
          </cell>
          <cell r="L394">
            <v>0.23017384574353394</v>
          </cell>
        </row>
        <row r="395">
          <cell r="F395" t="str">
            <v>MAX</v>
          </cell>
          <cell r="H395">
            <v>917.6072920000001</v>
          </cell>
          <cell r="I395">
            <v>3522925.4883194994</v>
          </cell>
          <cell r="L395">
            <v>0.3839251844480219</v>
          </cell>
        </row>
        <row r="396">
          <cell r="F396" t="str">
            <v>BE</v>
          </cell>
          <cell r="H396">
            <v>917.6072920000001</v>
          </cell>
          <cell r="I396">
            <v>2818471.5354179265</v>
          </cell>
          <cell r="L396">
            <v>0.3071544395941795</v>
          </cell>
        </row>
        <row r="398">
          <cell r="E398" t="str">
            <v>Asia I (Subregion- MIN)</v>
          </cell>
          <cell r="G398">
            <v>4090.205089</v>
          </cell>
          <cell r="H398">
            <v>2755.072722</v>
          </cell>
          <cell r="I398">
            <v>8482385.850895196</v>
          </cell>
          <cell r="K398">
            <v>0.2073828980778327</v>
          </cell>
          <cell r="L398">
            <v>0.3078824665193428</v>
          </cell>
        </row>
        <row r="399">
          <cell r="E399" t="str">
            <v>Asia I (Subregion- MAX)</v>
          </cell>
          <cell r="G399">
            <v>4090.205089</v>
          </cell>
          <cell r="H399">
            <v>2755.072722</v>
          </cell>
          <cell r="I399">
            <v>13149543.189021988</v>
          </cell>
          <cell r="K399">
            <v>0.3214886027203314</v>
          </cell>
          <cell r="L399">
            <v>0.47728479484477243</v>
          </cell>
        </row>
        <row r="400">
          <cell r="E400" t="str">
            <v>Asia II (No Subregion, w/ Values)</v>
          </cell>
        </row>
        <row r="401">
          <cell r="E401" t="str">
            <v>Asia II (No Subregion)</v>
          </cell>
        </row>
        <row r="402">
          <cell r="E402" t="str">
            <v>Total Asia:</v>
          </cell>
          <cell r="G402">
            <v>4090.205089</v>
          </cell>
          <cell r="H402">
            <v>2755.072722</v>
          </cell>
          <cell r="T402">
            <v>0.053000000000000005</v>
          </cell>
          <cell r="U402">
            <v>1.3150253205966798</v>
          </cell>
        </row>
        <row r="403">
          <cell r="F403" t="str">
            <v>MIN</v>
          </cell>
          <cell r="H403">
            <v>2755.072722</v>
          </cell>
          <cell r="I403">
            <v>8482385.850895196</v>
          </cell>
          <cell r="L403">
            <v>0.3078824665193428</v>
          </cell>
        </row>
        <row r="404">
          <cell r="F404" t="str">
            <v>MAX</v>
          </cell>
          <cell r="H404">
            <v>2755.072722</v>
          </cell>
          <cell r="I404">
            <v>13149543.189021988</v>
          </cell>
          <cell r="L404">
            <v>0.47728479484477243</v>
          </cell>
        </row>
        <row r="405">
          <cell r="F405" t="str">
            <v>BE</v>
          </cell>
          <cell r="H405">
            <v>2755.072722</v>
          </cell>
          <cell r="I405">
            <v>10560560.244529672</v>
          </cell>
          <cell r="L405">
            <v>0.38331330277421516</v>
          </cell>
        </row>
        <row r="408">
          <cell r="AG408" t="str">
            <v>Updated from WDR 2011</v>
          </cell>
        </row>
        <row r="409">
          <cell r="V409" t="str">
            <v>BE</v>
          </cell>
          <cell r="W409" t="str">
            <v>Max</v>
          </cell>
          <cell r="X409" t="str">
            <v>Min</v>
          </cell>
          <cell r="Y409" t="str">
            <v>Opium</v>
          </cell>
          <cell r="Z409" t="str">
            <v>Prescription opioids</v>
          </cell>
          <cell r="AA409" t="str">
            <v>Heroin</v>
          </cell>
          <cell r="AB409" t="str">
            <v>Heroin</v>
          </cell>
          <cell r="AC409" t="str">
            <v>Opioids</v>
          </cell>
          <cell r="AD409" t="str">
            <v>Prescription opioids</v>
          </cell>
          <cell r="AE409" t="str">
            <v>ProblemUsers</v>
          </cell>
          <cell r="AF409" t="str">
            <v>IDU</v>
          </cell>
        </row>
        <row r="410">
          <cell r="E410" t="str">
            <v>Albania</v>
          </cell>
          <cell r="F410" t="str">
            <v>Albania</v>
          </cell>
          <cell r="G410">
            <v>3.204284</v>
          </cell>
          <cell r="H410">
            <v>2.16794</v>
          </cell>
          <cell r="I410">
            <v>9755.73</v>
          </cell>
          <cell r="J410">
            <v>9755.73</v>
          </cell>
          <cell r="K410">
            <v>9755.73</v>
          </cell>
          <cell r="L410">
            <v>0.45</v>
          </cell>
          <cell r="M410">
            <v>2007</v>
          </cell>
          <cell r="N410" t="str">
            <v>15-64</v>
          </cell>
          <cell r="O410" t="str">
            <v>ARQ</v>
          </cell>
          <cell r="P410" t="str">
            <v>R</v>
          </cell>
          <cell r="Q410" t="str">
            <v>h,g</v>
          </cell>
          <cell r="R410" t="str">
            <v>based on treatment data opiates* greek multiplier</v>
          </cell>
          <cell r="S410" t="str">
            <v>Y</v>
          </cell>
          <cell r="T410">
            <v>0.45</v>
          </cell>
          <cell r="U410">
            <v>0.45</v>
          </cell>
        </row>
        <row r="411">
          <cell r="E411" t="str">
            <v>Belarus</v>
          </cell>
          <cell r="F411" t="str">
            <v>Belarus</v>
          </cell>
          <cell r="G411">
            <v>9.595421</v>
          </cell>
          <cell r="H411">
            <v>6.854432</v>
          </cell>
          <cell r="I411">
            <v>5483.5456</v>
          </cell>
          <cell r="J411">
            <v>50722.7968</v>
          </cell>
          <cell r="K411">
            <v>29474.057599999996</v>
          </cell>
          <cell r="L411">
            <v>0.43</v>
          </cell>
          <cell r="M411">
            <v>2007</v>
          </cell>
          <cell r="N411" t="str">
            <v>15-64</v>
          </cell>
          <cell r="O411" t="str">
            <v>UNODC Estimate</v>
          </cell>
          <cell r="P411" t="str">
            <v>R</v>
          </cell>
          <cell r="Q411" t="str">
            <v>h,g</v>
          </cell>
          <cell r="R411" t="str">
            <v>based on treatment data and Russia multiplier</v>
          </cell>
          <cell r="S411" t="str">
            <v>Y</v>
          </cell>
          <cell r="T411">
            <v>0.08</v>
          </cell>
          <cell r="U411">
            <v>0.74</v>
          </cell>
        </row>
        <row r="412">
          <cell r="E412" t="str">
            <v>Bosnia and Herzegovina</v>
          </cell>
          <cell r="F412" t="str">
            <v>Bosnia and Herzegovina</v>
          </cell>
          <cell r="G412">
            <v>3.7601489999999997</v>
          </cell>
          <cell r="H412">
            <v>2.666734</v>
          </cell>
          <cell r="I412">
            <v>8000.201999999999</v>
          </cell>
          <cell r="J412">
            <v>8000.201999999999</v>
          </cell>
          <cell r="K412">
            <v>8000.201999999999</v>
          </cell>
          <cell r="L412">
            <v>0.3</v>
          </cell>
          <cell r="M412">
            <v>2009</v>
          </cell>
          <cell r="N412" t="str">
            <v>15-64</v>
          </cell>
          <cell r="O412" t="str">
            <v>ARQ</v>
          </cell>
          <cell r="P412" t="str">
            <v>I</v>
          </cell>
          <cell r="R412" t="str">
            <v>Problem drug users</v>
          </cell>
          <cell r="S412" t="str">
            <v>Y</v>
          </cell>
          <cell r="T412">
            <v>0.3</v>
          </cell>
          <cell r="U412">
            <v>0.3</v>
          </cell>
        </row>
        <row r="413">
          <cell r="E413" t="str">
            <v>Bulgaria</v>
          </cell>
          <cell r="F413" t="str">
            <v>Bulgaria</v>
          </cell>
          <cell r="G413">
            <v>7.494332</v>
          </cell>
          <cell r="H413">
            <v>5.153162999999999</v>
          </cell>
          <cell r="I413">
            <v>22500.000000000004</v>
          </cell>
          <cell r="J413">
            <v>22500.000000000004</v>
          </cell>
          <cell r="K413">
            <v>22500</v>
          </cell>
          <cell r="L413">
            <v>0.43662503980564954</v>
          </cell>
          <cell r="M413" t="str">
            <v>2008</v>
          </cell>
          <cell r="N413" t="str">
            <v>15-64</v>
          </cell>
          <cell r="O413" t="str">
            <v>ARQ</v>
          </cell>
          <cell r="P413" t="str">
            <v>I</v>
          </cell>
          <cell r="R413" t="str">
            <v>Problem Opioid users</v>
          </cell>
          <cell r="S413" t="str">
            <v>Y</v>
          </cell>
          <cell r="T413">
            <v>0.43662503980564954</v>
          </cell>
          <cell r="U413">
            <v>0.43662503980564954</v>
          </cell>
          <cell r="V413">
            <v>0</v>
          </cell>
          <cell r="W413">
            <v>0</v>
          </cell>
          <cell r="X413">
            <v>0</v>
          </cell>
          <cell r="Y413" t="str">
            <v/>
          </cell>
          <cell r="Z413" t="str">
            <v/>
          </cell>
          <cell r="AA413" t="str">
            <v/>
          </cell>
          <cell r="AB413" t="str">
            <v/>
          </cell>
          <cell r="AC413" t="str">
            <v/>
          </cell>
          <cell r="AD413" t="str">
            <v/>
          </cell>
          <cell r="AE413">
            <v>22500</v>
          </cell>
          <cell r="AG413">
            <v>1</v>
          </cell>
        </row>
        <row r="414">
          <cell r="E414" t="str">
            <v>Croatia</v>
          </cell>
          <cell r="F414" t="str">
            <v>Croatia</v>
          </cell>
          <cell r="G414">
            <v>4.4033299999999995</v>
          </cell>
          <cell r="H414">
            <v>2.9858890000000002</v>
          </cell>
          <cell r="I414">
            <v>11867.118763789078</v>
          </cell>
          <cell r="J414">
            <v>11867.118763789078</v>
          </cell>
          <cell r="K414">
            <v>11875</v>
          </cell>
          <cell r="L414">
            <v>0.39770400038313547</v>
          </cell>
          <cell r="M414">
            <v>2010</v>
          </cell>
          <cell r="N414" t="str">
            <v>15-64</v>
          </cell>
          <cell r="O414" t="str">
            <v>ARQ</v>
          </cell>
          <cell r="P414" t="str">
            <v>I</v>
          </cell>
          <cell r="R414" t="str">
            <v>Problem Opioid users</v>
          </cell>
          <cell r="S414" t="str">
            <v>Y</v>
          </cell>
          <cell r="T414">
            <v>0.3974400509794262</v>
          </cell>
          <cell r="U414">
            <v>0.3974400509794262</v>
          </cell>
          <cell r="AE414">
            <v>11875</v>
          </cell>
          <cell r="AG414">
            <v>1</v>
          </cell>
        </row>
        <row r="415">
          <cell r="E415" t="str">
            <v>Macedonia (TFYR)</v>
          </cell>
          <cell r="F415" t="str">
            <v>Macedonia (TFYR)</v>
          </cell>
          <cell r="G415">
            <v>2.060563</v>
          </cell>
          <cell r="H415">
            <v>1.454076</v>
          </cell>
          <cell r="I415">
            <v>7270.38</v>
          </cell>
          <cell r="J415">
            <v>7270.38</v>
          </cell>
          <cell r="K415">
            <v>7270.38</v>
          </cell>
          <cell r="L415">
            <v>0.5</v>
          </cell>
          <cell r="M415">
            <v>2005</v>
          </cell>
          <cell r="N415" t="str">
            <v>15-64</v>
          </cell>
          <cell r="O415" t="str">
            <v>ARQ</v>
          </cell>
          <cell r="S415" t="str">
            <v>Y</v>
          </cell>
          <cell r="T415">
            <v>0.5</v>
          </cell>
          <cell r="U415">
            <v>0.5</v>
          </cell>
        </row>
        <row r="416">
          <cell r="E416" t="str">
            <v>Moldova (Republic of)</v>
          </cell>
          <cell r="F416" t="str">
            <v>Moldova (Republic of)</v>
          </cell>
          <cell r="G416">
            <v>3.5728850000000003</v>
          </cell>
          <cell r="H416">
            <v>2.578756</v>
          </cell>
          <cell r="I416">
            <v>3094.5071999999996</v>
          </cell>
          <cell r="J416">
            <v>4383.885200000001</v>
          </cell>
          <cell r="K416">
            <v>3868.1339999999996</v>
          </cell>
          <cell r="L416">
            <v>0.15</v>
          </cell>
          <cell r="M416">
            <v>2008</v>
          </cell>
          <cell r="N416" t="str">
            <v>15-64</v>
          </cell>
          <cell r="O416" t="str">
            <v>Government source</v>
          </cell>
          <cell r="P416" t="str">
            <v>R, HHS</v>
          </cell>
          <cell r="Q416" t="str">
            <v>e</v>
          </cell>
          <cell r="R416" t="str">
            <v>Registry of IDU opiate users (3220=0.12%) and based on homemade opiates LTP 0.6%/ LYP 0.1% combined with LTP of heroin 0.4% (ratio based on homemade opiate ratio)</v>
          </cell>
          <cell r="S416" t="str">
            <v>Y</v>
          </cell>
          <cell r="T416">
            <v>0.12</v>
          </cell>
          <cell r="U416">
            <v>0.17</v>
          </cell>
        </row>
        <row r="417">
          <cell r="E417" t="str">
            <v>Romania</v>
          </cell>
          <cell r="F417" t="str">
            <v>Romania</v>
          </cell>
          <cell r="G417">
            <v>21.486371</v>
          </cell>
          <cell r="H417">
            <v>15.017361000000001</v>
          </cell>
          <cell r="I417">
            <v>17077.078109140464</v>
          </cell>
          <cell r="J417">
            <v>17077.078109140464</v>
          </cell>
          <cell r="K417">
            <v>16916</v>
          </cell>
          <cell r="L417">
            <v>0.11264296037099993</v>
          </cell>
          <cell r="M417">
            <v>2010</v>
          </cell>
          <cell r="N417" t="str">
            <v>15-64 </v>
          </cell>
          <cell r="O417" t="str">
            <v>ARQ</v>
          </cell>
          <cell r="P417" t="str">
            <v>I</v>
          </cell>
          <cell r="R417" t="str">
            <v>Problem drug users</v>
          </cell>
          <cell r="S417" t="str">
            <v>Y</v>
          </cell>
          <cell r="T417">
            <v>0.11371557299009102</v>
          </cell>
          <cell r="U417">
            <v>0.11371557299009102</v>
          </cell>
          <cell r="V417">
            <v>0.1</v>
          </cell>
          <cell r="W417">
            <v>0.1</v>
          </cell>
          <cell r="X417">
            <v>0.1</v>
          </cell>
          <cell r="Y417" t="str">
            <v/>
          </cell>
          <cell r="AA417">
            <v>0.1</v>
          </cell>
          <cell r="AB417" t="str">
            <v/>
          </cell>
          <cell r="AC417" t="str">
            <v/>
          </cell>
          <cell r="AD417" t="str">
            <v/>
          </cell>
          <cell r="AE417">
            <v>16916</v>
          </cell>
          <cell r="AG417">
            <v>1</v>
          </cell>
        </row>
        <row r="418">
          <cell r="E418" t="str">
            <v>Russian Federation</v>
          </cell>
          <cell r="F418" t="str">
            <v>Russian Federation</v>
          </cell>
          <cell r="G418">
            <v>142.95816399999998</v>
          </cell>
          <cell r="H418">
            <v>103.161056</v>
          </cell>
          <cell r="I418">
            <v>2362388.1824000003</v>
          </cell>
          <cell r="J418">
            <v>2362388.1824000003</v>
          </cell>
          <cell r="K418">
            <v>2361204</v>
          </cell>
          <cell r="L418">
            <v>2.288852103258811</v>
          </cell>
          <cell r="M418">
            <v>2007</v>
          </cell>
          <cell r="N418" t="str">
            <v>15-64</v>
          </cell>
          <cell r="O418" t="str">
            <v>Government source</v>
          </cell>
          <cell r="P418" t="str">
            <v>R, I</v>
          </cell>
          <cell r="R418" t="str">
            <v>Based on number of registered opioid users and multiplier</v>
          </cell>
          <cell r="S418" t="str">
            <v>Y</v>
          </cell>
          <cell r="T418">
            <v>2.29</v>
          </cell>
          <cell r="U418">
            <v>2.29</v>
          </cell>
          <cell r="AG418">
            <v>1</v>
          </cell>
        </row>
        <row r="419">
          <cell r="E419" t="str">
            <v>Serbia</v>
          </cell>
          <cell r="F419" t="str">
            <v>Serbia</v>
          </cell>
          <cell r="G419">
            <v>9.856221999999999</v>
          </cell>
          <cell r="H419">
            <v>6.707219</v>
          </cell>
          <cell r="I419">
            <v>12072.9942</v>
          </cell>
          <cell r="J419">
            <v>25487.432200000003</v>
          </cell>
          <cell r="K419">
            <v>18780.213200000002</v>
          </cell>
          <cell r="L419">
            <v>0.28</v>
          </cell>
          <cell r="M419">
            <v>2008</v>
          </cell>
          <cell r="N419" t="str">
            <v>15-64</v>
          </cell>
          <cell r="O419" t="str">
            <v>ARQ</v>
          </cell>
          <cell r="P419" t="str">
            <v>I</v>
          </cell>
          <cell r="R419" t="str">
            <v>Number of IDU 12500-25000 (assumes all heroin)</v>
          </cell>
          <cell r="S419" t="str">
            <v>Y</v>
          </cell>
          <cell r="T419">
            <v>0.18</v>
          </cell>
          <cell r="U419">
            <v>0.38</v>
          </cell>
        </row>
        <row r="420">
          <cell r="E420" t="str">
            <v>Turkey</v>
          </cell>
          <cell r="F420" t="str">
            <v>Turkey</v>
          </cell>
          <cell r="G420">
            <v>72.752325</v>
          </cell>
          <cell r="H420">
            <v>49.223676</v>
          </cell>
          <cell r="I420">
            <v>24611.838000000003</v>
          </cell>
          <cell r="J420">
            <v>54146.043600000005</v>
          </cell>
          <cell r="K420">
            <v>24611.838000000003</v>
          </cell>
          <cell r="L420">
            <v>0.05</v>
          </cell>
          <cell r="M420">
            <v>2008</v>
          </cell>
          <cell r="N420" t="str">
            <v>15-64</v>
          </cell>
          <cell r="O420" t="str">
            <v>EMCDDA</v>
          </cell>
          <cell r="P420" t="str">
            <v>I</v>
          </cell>
          <cell r="R420" t="str">
            <v>EMCDDA - Problem opiod users. Drug related deaths. Mortality multiplier.</v>
          </cell>
          <cell r="S420" t="str">
            <v>Y</v>
          </cell>
          <cell r="T420">
            <v>0.05</v>
          </cell>
          <cell r="U420">
            <v>0.11</v>
          </cell>
        </row>
        <row r="421">
          <cell r="E421" t="str">
            <v>Ukraine</v>
          </cell>
          <cell r="F421" t="str">
            <v>Ukraine</v>
          </cell>
          <cell r="G421">
            <v>45.448329</v>
          </cell>
          <cell r="H421">
            <v>31.971793</v>
          </cell>
          <cell r="I421">
            <v>288107.5361128772</v>
          </cell>
          <cell r="J421">
            <v>288107.5361128772</v>
          </cell>
          <cell r="K421">
            <v>290000</v>
          </cell>
          <cell r="L421">
            <v>0.901130368612349</v>
          </cell>
          <cell r="M421">
            <v>2009</v>
          </cell>
          <cell r="N421" t="str">
            <v>15-64</v>
          </cell>
          <cell r="O421" t="str">
            <v>ARQ</v>
          </cell>
          <cell r="P421" t="str">
            <v>I</v>
          </cell>
          <cell r="R421" t="str">
            <v>Problem drug users (opiate injectors)</v>
          </cell>
          <cell r="S421" t="str">
            <v>Y</v>
          </cell>
          <cell r="T421">
            <v>0.901130368612349</v>
          </cell>
          <cell r="U421">
            <v>0.901130368612349</v>
          </cell>
          <cell r="V421">
            <v>0.901130368612349</v>
          </cell>
          <cell r="AE421">
            <v>290000</v>
          </cell>
          <cell r="AG421">
            <v>1</v>
          </cell>
        </row>
        <row r="423">
          <cell r="E423" t="str">
            <v>Subtotal I</v>
          </cell>
          <cell r="G423">
            <v>326.592375</v>
          </cell>
          <cell r="H423">
            <v>229.942095</v>
          </cell>
          <cell r="I423">
            <v>2772229.112385807</v>
          </cell>
          <cell r="J423">
            <v>2861706.385185807</v>
          </cell>
          <cell r="K423">
            <v>2804255.5548</v>
          </cell>
          <cell r="L423">
            <v>1.2195485801762396</v>
          </cell>
        </row>
        <row r="427">
          <cell r="E427" t="str">
            <v>Montenegro</v>
          </cell>
          <cell r="F427" t="str">
            <v>Montenegro</v>
          </cell>
          <cell r="G427">
            <v>0.63149</v>
          </cell>
          <cell r="H427">
            <v>0.431444</v>
          </cell>
          <cell r="I427">
            <v>0</v>
          </cell>
          <cell r="J427">
            <v>0</v>
          </cell>
          <cell r="S427" t="str">
            <v>N</v>
          </cell>
        </row>
        <row r="430">
          <cell r="E430" t="str">
            <v>Subtotal II</v>
          </cell>
          <cell r="G430">
            <v>0.63149</v>
          </cell>
          <cell r="H430">
            <v>0.431444</v>
          </cell>
          <cell r="I430">
            <v>0</v>
          </cell>
          <cell r="J430">
            <v>0</v>
          </cell>
          <cell r="K430">
            <v>5261.669176255575</v>
          </cell>
        </row>
        <row r="432">
          <cell r="E432" t="str">
            <v>Total CE&amp;E</v>
          </cell>
          <cell r="F432">
            <v>1</v>
          </cell>
          <cell r="G432">
            <v>327.223865</v>
          </cell>
          <cell r="H432">
            <v>230.373539</v>
          </cell>
          <cell r="I432">
            <v>2772229.112385807</v>
          </cell>
          <cell r="J432">
            <v>2861706.385185807</v>
          </cell>
          <cell r="K432">
            <v>2809517.2239762554</v>
          </cell>
          <cell r="T432">
            <v>0.08337155729900911</v>
          </cell>
          <cell r="U432">
            <v>0.8850173317511141</v>
          </cell>
        </row>
        <row r="433">
          <cell r="F433" t="str">
            <v>MIN</v>
          </cell>
          <cell r="H433">
            <v>230.373539</v>
          </cell>
          <cell r="I433">
            <v>2772588.8139674803</v>
          </cell>
          <cell r="L433">
            <v>1.203518783451723</v>
          </cell>
        </row>
        <row r="434">
          <cell r="F434" t="str">
            <v>MAX</v>
          </cell>
          <cell r="H434">
            <v>230.373539</v>
          </cell>
          <cell r="I434">
            <v>2865524.7393626072</v>
          </cell>
          <cell r="L434">
            <v>1.2438601897601649</v>
          </cell>
        </row>
        <row r="435">
          <cell r="F435" t="str">
            <v>BE</v>
          </cell>
          <cell r="H435">
            <v>230.373539</v>
          </cell>
          <cell r="I435">
            <v>2809517.2239762554</v>
          </cell>
          <cell r="L435">
            <v>1.2195485801762396</v>
          </cell>
          <cell r="O435">
            <v>357.4088518075677</v>
          </cell>
        </row>
        <row r="437">
          <cell r="G437" t="str">
            <v>Total Pop</v>
          </cell>
          <cell r="H437" t="str">
            <v>Pop 15-64</v>
          </cell>
          <cell r="I437" t="str">
            <v>Usage LCL</v>
          </cell>
          <cell r="J437" t="str">
            <v>Usage UCL</v>
          </cell>
          <cell r="K437" t="str">
            <v>UNODC estimate of drug usage</v>
          </cell>
          <cell r="L437" t="str">
            <v>LYP</v>
          </cell>
          <cell r="M437" t="str">
            <v>Year</v>
          </cell>
          <cell r="N437" t="str">
            <v>Pop</v>
          </cell>
          <cell r="O437" t="str">
            <v>Source</v>
          </cell>
          <cell r="T437" t="str">
            <v>Min</v>
          </cell>
          <cell r="U437" t="str">
            <v>Max</v>
          </cell>
          <cell r="V437" t="str">
            <v>BE</v>
          </cell>
          <cell r="W437" t="str">
            <v>Max</v>
          </cell>
          <cell r="X437" t="str">
            <v>Min</v>
          </cell>
          <cell r="Y437" t="str">
            <v>Opioids</v>
          </cell>
          <cell r="Z437" t="str">
            <v>Heroin</v>
          </cell>
          <cell r="AA437" t="str">
            <v>Opium</v>
          </cell>
          <cell r="AB437" t="str">
            <v>Illicit morphine</v>
          </cell>
          <cell r="AC437" t="str">
            <v>Prescription opioids</v>
          </cell>
          <cell r="AD437" t="str">
            <v>Other illicit opioids</v>
          </cell>
          <cell r="AE437" t="str">
            <v>ProblemUsers</v>
          </cell>
          <cell r="AF437" t="str">
            <v>IDU</v>
          </cell>
          <cell r="AG437" t="str">
            <v>Updated from WDR 2011</v>
          </cell>
        </row>
        <row r="438">
          <cell r="E438" t="str">
            <v>Austria</v>
          </cell>
          <cell r="F438" t="str">
            <v>Austria</v>
          </cell>
          <cell r="G438">
            <v>8.393644</v>
          </cell>
          <cell r="H438">
            <v>5.680641</v>
          </cell>
          <cell r="I438">
            <v>24994.8204</v>
          </cell>
          <cell r="J438">
            <v>26699.0127</v>
          </cell>
          <cell r="K438">
            <v>26130.9486</v>
          </cell>
          <cell r="L438">
            <v>0.45999999999999996</v>
          </cell>
          <cell r="M438">
            <v>2009</v>
          </cell>
          <cell r="N438" t="str">
            <v>15-64</v>
          </cell>
          <cell r="O438" t="str">
            <v>EMCDDA</v>
          </cell>
          <cell r="P438" t="str">
            <v>I</v>
          </cell>
          <cell r="R438" t="str">
            <v>Problem opioid users</v>
          </cell>
          <cell r="S438" t="str">
            <v>Y</v>
          </cell>
          <cell r="T438">
            <v>0.44</v>
          </cell>
          <cell r="U438">
            <v>0.47</v>
          </cell>
          <cell r="V438">
            <v>0.46</v>
          </cell>
          <cell r="W438">
            <v>0.47</v>
          </cell>
          <cell r="X438">
            <v>0.44</v>
          </cell>
          <cell r="Y438">
            <v>0.46</v>
          </cell>
          <cell r="Z438" t="str">
            <v/>
          </cell>
          <cell r="AA438" t="str">
            <v/>
          </cell>
          <cell r="AB438" t="str">
            <v/>
          </cell>
          <cell r="AC438" t="str">
            <v/>
          </cell>
          <cell r="AD438" t="str">
            <v/>
          </cell>
          <cell r="AE438">
            <v>26000</v>
          </cell>
          <cell r="AG438">
            <v>1</v>
          </cell>
        </row>
        <row r="439">
          <cell r="E439" t="str">
            <v>Belgium</v>
          </cell>
          <cell r="F439" t="str">
            <v>Belgium</v>
          </cell>
          <cell r="G439">
            <v>10.712066</v>
          </cell>
          <cell r="H439">
            <v>7.037858</v>
          </cell>
          <cell r="I439">
            <v>14075.716</v>
          </cell>
          <cell r="J439">
            <v>14075.716</v>
          </cell>
          <cell r="K439">
            <v>14075.716</v>
          </cell>
          <cell r="L439">
            <v>0.2</v>
          </cell>
          <cell r="M439">
            <v>2008</v>
          </cell>
          <cell r="N439" t="str">
            <v>15-64</v>
          </cell>
          <cell r="O439" t="str">
            <v>ARQ</v>
          </cell>
          <cell r="P439" t="str">
            <v>HHS</v>
          </cell>
          <cell r="S439" t="str">
            <v>Y</v>
          </cell>
          <cell r="T439">
            <v>0.2</v>
          </cell>
          <cell r="U439">
            <v>0.2</v>
          </cell>
          <cell r="V439">
            <v>0.2</v>
          </cell>
          <cell r="W439">
            <v>0.2</v>
          </cell>
          <cell r="X439">
            <v>0.2</v>
          </cell>
          <cell r="Y439">
            <v>0.2</v>
          </cell>
          <cell r="Z439" t="str">
            <v/>
          </cell>
          <cell r="AA439" t="str">
            <v/>
          </cell>
          <cell r="AB439" t="str">
            <v/>
          </cell>
          <cell r="AC439" t="str">
            <v/>
          </cell>
          <cell r="AD439" t="str">
            <v/>
          </cell>
          <cell r="AE439" t="str">
            <v/>
          </cell>
          <cell r="AF439">
            <v>481</v>
          </cell>
          <cell r="AG439">
            <v>1</v>
          </cell>
        </row>
        <row r="440">
          <cell r="E440" t="str">
            <v>Cyprus</v>
          </cell>
          <cell r="F440" t="str">
            <v>Cyprus</v>
          </cell>
          <cell r="G440">
            <v>1.103647</v>
          </cell>
          <cell r="H440">
            <v>0.779916</v>
          </cell>
          <cell r="I440">
            <v>1247.8656</v>
          </cell>
          <cell r="J440">
            <v>1793.8068000000003</v>
          </cell>
          <cell r="K440">
            <v>1481.8404</v>
          </cell>
          <cell r="L440">
            <v>0.19</v>
          </cell>
          <cell r="M440">
            <v>2009</v>
          </cell>
          <cell r="N440" t="str">
            <v>15-64</v>
          </cell>
          <cell r="O440" t="str">
            <v>EMCDDA</v>
          </cell>
          <cell r="P440" t="str">
            <v>I</v>
          </cell>
          <cell r="R440" t="str">
            <v>Problem opioid users</v>
          </cell>
          <cell r="S440" t="str">
            <v>Y</v>
          </cell>
          <cell r="T440">
            <v>0.16</v>
          </cell>
          <cell r="U440">
            <v>0.23</v>
          </cell>
          <cell r="V440">
            <v>0.19</v>
          </cell>
          <cell r="W440">
            <v>0.23</v>
          </cell>
          <cell r="X440">
            <v>0.16</v>
          </cell>
          <cell r="Y440">
            <v>0.19</v>
          </cell>
          <cell r="AA440" t="str">
            <v/>
          </cell>
          <cell r="AB440" t="str">
            <v/>
          </cell>
          <cell r="AC440" t="str">
            <v/>
          </cell>
          <cell r="AD440" t="str">
            <v/>
          </cell>
          <cell r="AE440" t="str">
            <v/>
          </cell>
          <cell r="AG440">
            <v>1</v>
          </cell>
        </row>
        <row r="441">
          <cell r="E441" t="str">
            <v>Czech Republic</v>
          </cell>
          <cell r="F441" t="str">
            <v>Czech Republic</v>
          </cell>
          <cell r="G441">
            <v>10.492959999999998</v>
          </cell>
          <cell r="H441">
            <v>7.465319</v>
          </cell>
          <cell r="I441">
            <v>22395.957</v>
          </cell>
          <cell r="J441">
            <v>22395.957</v>
          </cell>
          <cell r="K441">
            <v>22395.957</v>
          </cell>
          <cell r="L441">
            <v>0.3</v>
          </cell>
          <cell r="M441">
            <v>2010</v>
          </cell>
          <cell r="N441" t="str">
            <v>15-64</v>
          </cell>
          <cell r="O441" t="str">
            <v>ARQ</v>
          </cell>
          <cell r="P441" t="str">
            <v>HHS</v>
          </cell>
          <cell r="S441" t="str">
            <v>Y</v>
          </cell>
          <cell r="T441">
            <v>0.3</v>
          </cell>
          <cell r="U441">
            <v>0.3</v>
          </cell>
          <cell r="V441">
            <v>0.3</v>
          </cell>
          <cell r="W441">
            <v>0.3</v>
          </cell>
          <cell r="X441">
            <v>0.3</v>
          </cell>
          <cell r="Y441" t="str">
            <v/>
          </cell>
          <cell r="Z441">
            <v>0.3</v>
          </cell>
          <cell r="AA441" t="str">
            <v/>
          </cell>
          <cell r="AB441" t="str">
            <v/>
          </cell>
          <cell r="AC441" t="str">
            <v/>
          </cell>
          <cell r="AD441" t="str">
            <v/>
          </cell>
          <cell r="AE441">
            <v>12100</v>
          </cell>
          <cell r="AG441">
            <v>1</v>
          </cell>
        </row>
        <row r="442">
          <cell r="E442" t="str">
            <v>Denmark</v>
          </cell>
          <cell r="F442" t="str">
            <v>Denmark</v>
          </cell>
          <cell r="G442">
            <v>5.550142</v>
          </cell>
          <cell r="H442">
            <v>3.6372910000000003</v>
          </cell>
          <cell r="I442">
            <v>17891.072272385547</v>
          </cell>
          <cell r="J442">
            <v>20099.96007565333</v>
          </cell>
          <cell r="K442">
            <v>18995.51617401944</v>
          </cell>
          <cell r="L442">
            <v>0.5222435096344901</v>
          </cell>
          <cell r="M442">
            <v>2009</v>
          </cell>
          <cell r="N442" t="str">
            <v>15-64</v>
          </cell>
          <cell r="O442" t="str">
            <v>Government source</v>
          </cell>
          <cell r="P442" t="str">
            <v>I</v>
          </cell>
          <cell r="R442" t="str">
            <v>Problem drug users and % of regd.in RX for substitution</v>
          </cell>
          <cell r="S442" t="str">
            <v>Y</v>
          </cell>
          <cell r="T442">
            <v>0.491879046036887</v>
          </cell>
          <cell r="U442">
            <v>0.5526079732320931</v>
          </cell>
          <cell r="V442">
            <v>0.5222435096344901</v>
          </cell>
          <cell r="W442">
            <v>0.5526079732320931</v>
          </cell>
          <cell r="X442">
            <v>0.491879046036887</v>
          </cell>
          <cell r="Z442" t="str">
            <v/>
          </cell>
          <cell r="AA442" t="str">
            <v/>
          </cell>
          <cell r="AB442" t="str">
            <v/>
          </cell>
          <cell r="AC442" t="str">
            <v/>
          </cell>
          <cell r="AD442" t="str">
            <v/>
          </cell>
          <cell r="AE442">
            <v>33074</v>
          </cell>
          <cell r="AG442">
            <v>1</v>
          </cell>
        </row>
        <row r="443">
          <cell r="E443" t="str">
            <v>Estonia</v>
          </cell>
          <cell r="F443" t="str">
            <v>Estonia</v>
          </cell>
          <cell r="G443">
            <v>1.34114</v>
          </cell>
          <cell r="H443">
            <v>0.904876</v>
          </cell>
          <cell r="I443">
            <v>13886</v>
          </cell>
          <cell r="J443">
            <v>13886</v>
          </cell>
          <cell r="K443">
            <v>13886</v>
          </cell>
          <cell r="L443">
            <v>1.534574903080643</v>
          </cell>
          <cell r="M443">
            <v>2008</v>
          </cell>
          <cell r="N443" t="str">
            <v>15-64</v>
          </cell>
          <cell r="O443" t="str">
            <v>ARQ</v>
          </cell>
          <cell r="P443" t="str">
            <v>I</v>
          </cell>
          <cell r="R443" t="str">
            <v>IDU</v>
          </cell>
          <cell r="S443" t="str">
            <v>Y</v>
          </cell>
          <cell r="T443">
            <v>1.534574903080643</v>
          </cell>
          <cell r="U443">
            <v>1.534574903080643</v>
          </cell>
          <cell r="V443">
            <v>0.15000000000000002</v>
          </cell>
          <cell r="W443">
            <v>0.2</v>
          </cell>
          <cell r="X443">
            <v>0.1</v>
          </cell>
          <cell r="Y443" t="str">
            <v/>
          </cell>
          <cell r="Z443">
            <v>0.1</v>
          </cell>
          <cell r="AA443" t="str">
            <v/>
          </cell>
          <cell r="AB443" t="str">
            <v/>
          </cell>
          <cell r="AC443">
            <v>0.1</v>
          </cell>
          <cell r="AD443" t="str">
            <v/>
          </cell>
          <cell r="AE443">
            <v>13886</v>
          </cell>
          <cell r="AG443">
            <v>1</v>
          </cell>
        </row>
        <row r="444">
          <cell r="E444" t="str">
            <v>Finland</v>
          </cell>
          <cell r="F444" t="str">
            <v>Finland</v>
          </cell>
          <cell r="G444">
            <v>5.364546000000001</v>
          </cell>
          <cell r="H444">
            <v>3.552837</v>
          </cell>
          <cell r="I444">
            <v>7105.674</v>
          </cell>
          <cell r="J444">
            <v>7105.674</v>
          </cell>
          <cell r="K444">
            <v>7105.674</v>
          </cell>
          <cell r="L444">
            <v>0.2</v>
          </cell>
          <cell r="M444">
            <v>2006</v>
          </cell>
          <cell r="N444" t="str">
            <v>15-64</v>
          </cell>
          <cell r="O444" t="str">
            <v>ARQ</v>
          </cell>
          <cell r="P444" t="str">
            <v>HHS</v>
          </cell>
          <cell r="S444" t="str">
            <v>Y</v>
          </cell>
          <cell r="T444">
            <v>0.2</v>
          </cell>
          <cell r="U444">
            <v>0.2</v>
          </cell>
          <cell r="V444">
            <v>0.2</v>
          </cell>
          <cell r="W444">
            <v>0.2</v>
          </cell>
          <cell r="X444">
            <v>0.2</v>
          </cell>
          <cell r="Y444">
            <v>0.2</v>
          </cell>
          <cell r="Z444">
            <v>0</v>
          </cell>
          <cell r="AA444" t="str">
            <v/>
          </cell>
          <cell r="AB444" t="str">
            <v/>
          </cell>
          <cell r="AC444">
            <v>0.2</v>
          </cell>
          <cell r="AD444" t="str">
            <v/>
          </cell>
          <cell r="AE444">
            <v>4200</v>
          </cell>
          <cell r="AF444">
            <v>2700</v>
          </cell>
          <cell r="AG444">
            <v>1</v>
          </cell>
        </row>
        <row r="445">
          <cell r="E445" t="str">
            <v>France</v>
          </cell>
          <cell r="F445" t="str">
            <v>France</v>
          </cell>
          <cell r="G445">
            <v>62.787427</v>
          </cell>
          <cell r="H445">
            <v>40.712612</v>
          </cell>
          <cell r="I445">
            <v>134509.3759630497</v>
          </cell>
          <cell r="J445">
            <v>345361.91125647904</v>
          </cell>
          <cell r="K445">
            <v>239935.64360976435</v>
          </cell>
          <cell r="L445">
            <v>0.5893398429208235</v>
          </cell>
          <cell r="M445">
            <v>2008</v>
          </cell>
          <cell r="N445" t="str">
            <v>15-64</v>
          </cell>
          <cell r="O445" t="str">
            <v>UNODC Estimate</v>
          </cell>
          <cell r="P445" t="str">
            <v>I</v>
          </cell>
          <cell r="R445" t="str">
            <v>Problem drug users and % in RX</v>
          </cell>
          <cell r="S445" t="str">
            <v>Y</v>
          </cell>
          <cell r="T445">
            <v>0.33038748769803744</v>
          </cell>
          <cell r="U445">
            <v>0.8482921981436097</v>
          </cell>
          <cell r="V445">
            <v>0.5893398429208235</v>
          </cell>
          <cell r="W445">
            <v>0.8482921981436097</v>
          </cell>
          <cell r="X445">
            <v>0.33038748769803744</v>
          </cell>
          <cell r="Y445">
            <v>0.5893398429208235</v>
          </cell>
          <cell r="AA445" t="str">
            <v/>
          </cell>
          <cell r="AB445" t="str">
            <v/>
          </cell>
          <cell r="AC445" t="str">
            <v/>
          </cell>
          <cell r="AD445" t="str">
            <v/>
          </cell>
          <cell r="AE445">
            <v>74000</v>
          </cell>
          <cell r="AG445">
            <v>1</v>
          </cell>
        </row>
        <row r="446">
          <cell r="E446" t="str">
            <v>Germany</v>
          </cell>
          <cell r="F446" t="str">
            <v>Germany</v>
          </cell>
          <cell r="G446">
            <v>82.302465</v>
          </cell>
          <cell r="H446">
            <v>54.434999000000005</v>
          </cell>
          <cell r="I446">
            <v>87095.9984</v>
          </cell>
          <cell r="J446">
            <v>125200.4977</v>
          </cell>
          <cell r="K446">
            <v>111499.99999999999</v>
          </cell>
          <cell r="L446">
            <v>0.20483145411649586</v>
          </cell>
          <cell r="M446">
            <v>2009</v>
          </cell>
          <cell r="N446" t="str">
            <v>15-64</v>
          </cell>
          <cell r="O446" t="str">
            <v>ARQ/EMCDDA</v>
          </cell>
          <cell r="P446" t="str">
            <v>I</v>
          </cell>
          <cell r="R446" t="str">
            <v>Problem opioid users</v>
          </cell>
          <cell r="S446" t="str">
            <v>Y</v>
          </cell>
          <cell r="T446">
            <v>0.16</v>
          </cell>
          <cell r="U446">
            <v>0.23</v>
          </cell>
          <cell r="V446">
            <v>0.2</v>
          </cell>
          <cell r="W446">
            <v>0.23</v>
          </cell>
          <cell r="X446">
            <v>0.16</v>
          </cell>
          <cell r="Y446">
            <v>0.2</v>
          </cell>
          <cell r="AA446" t="str">
            <v/>
          </cell>
          <cell r="AB446" t="str">
            <v/>
          </cell>
          <cell r="AC446" t="str">
            <v/>
          </cell>
          <cell r="AD446">
            <v>0.2</v>
          </cell>
          <cell r="AE446">
            <v>111500</v>
          </cell>
          <cell r="AF446">
            <v>11123</v>
          </cell>
          <cell r="AG446">
            <v>1</v>
          </cell>
        </row>
        <row r="447">
          <cell r="E447" t="str">
            <v>Greece</v>
          </cell>
          <cell r="F447" t="str">
            <v>Greece</v>
          </cell>
          <cell r="G447">
            <v>11.359346</v>
          </cell>
          <cell r="H447">
            <v>7.596828</v>
          </cell>
          <cell r="I447">
            <v>21271.118400000003</v>
          </cell>
          <cell r="J447">
            <v>27348.5808</v>
          </cell>
          <cell r="K447">
            <v>24309.8496</v>
          </cell>
          <cell r="L447">
            <v>0.32</v>
          </cell>
          <cell r="M447">
            <v>2009</v>
          </cell>
          <cell r="N447" t="str">
            <v>15-64</v>
          </cell>
          <cell r="O447" t="str">
            <v>EMCDDA</v>
          </cell>
          <cell r="P447" t="str">
            <v>I</v>
          </cell>
          <cell r="R447" t="str">
            <v>Problem opioid users</v>
          </cell>
          <cell r="S447" t="str">
            <v>Y</v>
          </cell>
          <cell r="T447">
            <v>0.28</v>
          </cell>
          <cell r="U447">
            <v>0.36</v>
          </cell>
          <cell r="V447">
            <v>0.32</v>
          </cell>
          <cell r="W447">
            <v>0.36</v>
          </cell>
          <cell r="X447">
            <v>0.28</v>
          </cell>
          <cell r="Y447">
            <v>0.32</v>
          </cell>
          <cell r="Z447" t="str">
            <v/>
          </cell>
          <cell r="AA447" t="str">
            <v/>
          </cell>
          <cell r="AB447" t="str">
            <v/>
          </cell>
          <cell r="AC447" t="str">
            <v/>
          </cell>
          <cell r="AD447" t="str">
            <v/>
          </cell>
          <cell r="AE447" t="str">
            <v/>
          </cell>
          <cell r="AG447">
            <v>1</v>
          </cell>
        </row>
        <row r="448">
          <cell r="E448" t="str">
            <v>Hungary</v>
          </cell>
          <cell r="F448" t="str">
            <v>Hungary</v>
          </cell>
          <cell r="G448">
            <v>9.983645000000001</v>
          </cell>
          <cell r="H448">
            <v>6.865701</v>
          </cell>
          <cell r="I448">
            <v>2746.2803999999996</v>
          </cell>
          <cell r="J448">
            <v>13731.402000000002</v>
          </cell>
          <cell r="K448">
            <v>3432.8505000000005</v>
          </cell>
          <cell r="L448">
            <v>0.05</v>
          </cell>
          <cell r="M448">
            <v>2007</v>
          </cell>
          <cell r="N448" t="str">
            <v>15-64</v>
          </cell>
          <cell r="O448" t="str">
            <v>EMCDDA</v>
          </cell>
          <cell r="P448" t="str">
            <v>I</v>
          </cell>
          <cell r="Q448" t="str">
            <v>g</v>
          </cell>
          <cell r="R448" t="str">
            <v>Problem opioid users</v>
          </cell>
          <cell r="S448" t="str">
            <v>Y</v>
          </cell>
          <cell r="T448">
            <v>0.04</v>
          </cell>
          <cell r="U448">
            <v>0.2</v>
          </cell>
          <cell r="V448">
            <v>0.05</v>
          </cell>
          <cell r="W448">
            <v>0.05</v>
          </cell>
          <cell r="X448">
            <v>0.04</v>
          </cell>
          <cell r="Y448">
            <v>0.05</v>
          </cell>
          <cell r="Z448">
            <v>0.05</v>
          </cell>
          <cell r="AA448" t="str">
            <v/>
          </cell>
          <cell r="AB448" t="str">
            <v/>
          </cell>
          <cell r="AC448" t="str">
            <v/>
          </cell>
          <cell r="AD448" t="str">
            <v/>
          </cell>
          <cell r="AE448">
            <v>3130</v>
          </cell>
        </row>
        <row r="449">
          <cell r="E449" t="str">
            <v>Iceland</v>
          </cell>
          <cell r="F449" t="str">
            <v>Iceland</v>
          </cell>
          <cell r="G449">
            <v>0.32013600000000003</v>
          </cell>
          <cell r="H449">
            <v>0.21503999999999998</v>
          </cell>
          <cell r="I449">
            <v>860.16</v>
          </cell>
          <cell r="J449">
            <v>860.16</v>
          </cell>
          <cell r="K449">
            <v>860.16</v>
          </cell>
          <cell r="L449">
            <v>0.4</v>
          </cell>
          <cell r="M449">
            <v>2005</v>
          </cell>
          <cell r="N449" t="str">
            <v>15-64</v>
          </cell>
          <cell r="O449" t="str">
            <v>ARQ</v>
          </cell>
          <cell r="S449" t="str">
            <v>Y</v>
          </cell>
          <cell r="T449">
            <v>0.4</v>
          </cell>
          <cell r="U449">
            <v>0.4</v>
          </cell>
          <cell r="Y449" t="str">
            <v/>
          </cell>
          <cell r="Z449" t="str">
            <v/>
          </cell>
          <cell r="AA449" t="str">
            <v/>
          </cell>
          <cell r="AB449" t="str">
            <v/>
          </cell>
          <cell r="AC449" t="str">
            <v/>
          </cell>
          <cell r="AD449" t="str">
            <v/>
          </cell>
          <cell r="AE449" t="str">
            <v/>
          </cell>
        </row>
        <row r="450">
          <cell r="E450" t="str">
            <v>Ireland</v>
          </cell>
          <cell r="F450" t="str">
            <v>Ireland</v>
          </cell>
          <cell r="G450">
            <v>4.4699</v>
          </cell>
          <cell r="H450">
            <v>3.000801</v>
          </cell>
          <cell r="I450">
            <v>18604.9662</v>
          </cell>
          <cell r="J450">
            <v>24306.488100000002</v>
          </cell>
          <cell r="K450">
            <v>21605.7672</v>
          </cell>
          <cell r="L450">
            <v>0.72</v>
          </cell>
          <cell r="M450">
            <v>2006</v>
          </cell>
          <cell r="N450" t="str">
            <v>15-64</v>
          </cell>
          <cell r="O450" t="str">
            <v>EMCDDA</v>
          </cell>
          <cell r="P450" t="str">
            <v>I</v>
          </cell>
          <cell r="R450" t="str">
            <v>Problem opioid users. Treatment data, Hospitals. Capture-recapture.</v>
          </cell>
          <cell r="S450" t="str">
            <v>Y</v>
          </cell>
          <cell r="T450">
            <v>0.62</v>
          </cell>
          <cell r="U450">
            <v>0.81</v>
          </cell>
          <cell r="Y450" t="str">
            <v/>
          </cell>
          <cell r="Z450" t="str">
            <v/>
          </cell>
          <cell r="AA450" t="str">
            <v/>
          </cell>
          <cell r="AB450" t="str">
            <v/>
          </cell>
          <cell r="AC450" t="str">
            <v/>
          </cell>
          <cell r="AD450" t="str">
            <v/>
          </cell>
          <cell r="AE450" t="str">
            <v/>
          </cell>
        </row>
        <row r="451">
          <cell r="E451" t="str">
            <v>Italy</v>
          </cell>
          <cell r="F451" t="str">
            <v>Italy</v>
          </cell>
          <cell r="G451">
            <v>60.550847999999995</v>
          </cell>
          <cell r="H451">
            <v>39.713011</v>
          </cell>
          <cell r="I451">
            <v>210478.95830000003</v>
          </cell>
          <cell r="J451">
            <v>226364.1627</v>
          </cell>
          <cell r="K451">
            <v>218421.56050000002</v>
          </cell>
          <cell r="L451">
            <v>0.55</v>
          </cell>
          <cell r="M451">
            <v>2009</v>
          </cell>
          <cell r="N451" t="str">
            <v>15-64</v>
          </cell>
          <cell r="O451" t="str">
            <v>EMCDDA</v>
          </cell>
          <cell r="P451" t="str">
            <v>I</v>
          </cell>
          <cell r="R451" t="str">
            <v>Problem opioid users. Treatment, Criminal Justice and Prison data. Multivariate method.</v>
          </cell>
          <cell r="S451" t="str">
            <v>Y</v>
          </cell>
          <cell r="T451">
            <v>0.53</v>
          </cell>
          <cell r="U451">
            <v>0.57</v>
          </cell>
          <cell r="V451">
            <v>0.55</v>
          </cell>
          <cell r="W451">
            <v>0.56</v>
          </cell>
          <cell r="X451">
            <v>0.53</v>
          </cell>
          <cell r="Y451">
            <v>0.55</v>
          </cell>
          <cell r="Z451" t="str">
            <v/>
          </cell>
          <cell r="AA451" t="str">
            <v/>
          </cell>
          <cell r="AB451" t="str">
            <v/>
          </cell>
          <cell r="AC451" t="str">
            <v/>
          </cell>
          <cell r="AD451" t="str">
            <v/>
          </cell>
          <cell r="AE451" t="str">
            <v/>
          </cell>
          <cell r="AG451">
            <v>1</v>
          </cell>
        </row>
        <row r="452">
          <cell r="E452" t="str">
            <v>Latvia</v>
          </cell>
          <cell r="F452" t="str">
            <v>Latvia</v>
          </cell>
          <cell r="G452">
            <v>2.2520599999999997</v>
          </cell>
          <cell r="H452">
            <v>1.539373</v>
          </cell>
          <cell r="I452">
            <v>10775.610999999999</v>
          </cell>
          <cell r="J452">
            <v>12314.984000000002</v>
          </cell>
          <cell r="K452">
            <v>12314.984000000002</v>
          </cell>
          <cell r="L452">
            <v>0.8</v>
          </cell>
          <cell r="M452">
            <v>2007</v>
          </cell>
          <cell r="N452" t="str">
            <v>15-64</v>
          </cell>
          <cell r="O452" t="str">
            <v>ARQ</v>
          </cell>
          <cell r="P452" t="str">
            <v>HHS</v>
          </cell>
          <cell r="R452" t="str">
            <v>HHS 2007; heroin 0.1% and home-made opioids 0.7%, combined (REVISED RANGE)</v>
          </cell>
          <cell r="S452" t="str">
            <v>Y</v>
          </cell>
          <cell r="T452">
            <v>0.7</v>
          </cell>
          <cell r="U452">
            <v>0.8</v>
          </cell>
          <cell r="V452">
            <v>0.8</v>
          </cell>
          <cell r="W452">
            <v>0.8</v>
          </cell>
          <cell r="X452">
            <v>0.7</v>
          </cell>
          <cell r="Y452">
            <v>0.8</v>
          </cell>
          <cell r="Z452">
            <v>0.1</v>
          </cell>
          <cell r="AA452" t="str">
            <v/>
          </cell>
          <cell r="AB452" t="str">
            <v/>
          </cell>
          <cell r="AC452" t="str">
            <v/>
          </cell>
          <cell r="AD452">
            <v>0.7000000000000001</v>
          </cell>
          <cell r="AE452" t="str">
            <v/>
          </cell>
          <cell r="AG452">
            <v>0</v>
          </cell>
        </row>
        <row r="453">
          <cell r="E453" t="str">
            <v>Liechtenstein</v>
          </cell>
          <cell r="F453" t="str">
            <v>Liechtenstein</v>
          </cell>
          <cell r="G453">
            <v>0.036031999999999995</v>
          </cell>
          <cell r="H453">
            <v>0.024862079999999995</v>
          </cell>
          <cell r="I453">
            <v>49.72415999999999</v>
          </cell>
          <cell r="J453">
            <v>49.72415999999999</v>
          </cell>
          <cell r="K453">
            <v>49.72415999999999</v>
          </cell>
          <cell r="L453">
            <v>0.2</v>
          </cell>
          <cell r="M453">
            <v>2005</v>
          </cell>
          <cell r="N453" t="str">
            <v>15-64</v>
          </cell>
          <cell r="O453" t="str">
            <v>ARQ</v>
          </cell>
          <cell r="P453" t="str">
            <v>SS</v>
          </cell>
          <cell r="R453" t="str">
            <v>based on 0.3% among 15-16 years old 12-months prev.; using Austria/Germany for extrapolation</v>
          </cell>
          <cell r="S453" t="str">
            <v>Y</v>
          </cell>
          <cell r="T453">
            <v>0.2</v>
          </cell>
          <cell r="U453">
            <v>0.2</v>
          </cell>
          <cell r="Y453" t="str">
            <v/>
          </cell>
          <cell r="Z453" t="str">
            <v/>
          </cell>
          <cell r="AA453" t="str">
            <v/>
          </cell>
          <cell r="AB453" t="str">
            <v/>
          </cell>
          <cell r="AC453" t="str">
            <v/>
          </cell>
          <cell r="AD453" t="str">
            <v/>
          </cell>
          <cell r="AE453" t="str">
            <v/>
          </cell>
        </row>
        <row r="454">
          <cell r="E454" t="str">
            <v>Lithuania</v>
          </cell>
          <cell r="F454" t="str">
            <v>Lithuania</v>
          </cell>
          <cell r="G454">
            <v>3.323611</v>
          </cell>
          <cell r="H454">
            <v>2.295757</v>
          </cell>
          <cell r="I454">
            <v>5280.2411</v>
          </cell>
          <cell r="J454">
            <v>5509.8168</v>
          </cell>
          <cell r="K454">
            <v>5509.8168</v>
          </cell>
          <cell r="L454">
            <v>0.24</v>
          </cell>
          <cell r="M454">
            <v>2007</v>
          </cell>
          <cell r="N454" t="str">
            <v>15-64</v>
          </cell>
          <cell r="O454" t="str">
            <v>EMCDDA</v>
          </cell>
          <cell r="P454" t="str">
            <v>I</v>
          </cell>
          <cell r="R454" t="str">
            <v>Problem opioid users</v>
          </cell>
          <cell r="S454" t="str">
            <v>Y</v>
          </cell>
          <cell r="T454">
            <v>0.23</v>
          </cell>
          <cell r="U454">
            <v>0.24</v>
          </cell>
          <cell r="V454">
            <v>0.24</v>
          </cell>
          <cell r="W454">
            <v>0.24</v>
          </cell>
          <cell r="X454">
            <v>0.23</v>
          </cell>
          <cell r="Y454">
            <v>0.24</v>
          </cell>
          <cell r="Z454">
            <v>0</v>
          </cell>
          <cell r="AA454" t="str">
            <v/>
          </cell>
          <cell r="AB454" t="str">
            <v/>
          </cell>
          <cell r="AC454" t="str">
            <v/>
          </cell>
          <cell r="AD454" t="str">
            <v/>
          </cell>
          <cell r="AE454" t="str">
            <v/>
          </cell>
          <cell r="AG454">
            <v>1</v>
          </cell>
        </row>
        <row r="455">
          <cell r="E455" t="str">
            <v>Luxembourg</v>
          </cell>
          <cell r="F455" t="str">
            <v>Luxembourg</v>
          </cell>
          <cell r="G455">
            <v>0.507448</v>
          </cell>
          <cell r="H455">
            <v>0.34716800000000003</v>
          </cell>
          <cell r="I455">
            <v>1735.84</v>
          </cell>
          <cell r="J455">
            <v>2638.4768</v>
          </cell>
          <cell r="K455">
            <v>2048.2912</v>
          </cell>
          <cell r="L455">
            <v>0.59</v>
          </cell>
          <cell r="M455">
            <v>2007</v>
          </cell>
          <cell r="N455" t="str">
            <v>15-64</v>
          </cell>
          <cell r="O455" t="str">
            <v>EMCDDA</v>
          </cell>
          <cell r="P455" t="str">
            <v>I</v>
          </cell>
          <cell r="R455" t="str">
            <v>Problem Opioiid users</v>
          </cell>
          <cell r="S455" t="str">
            <v>Y</v>
          </cell>
          <cell r="T455">
            <v>0.5</v>
          </cell>
          <cell r="U455">
            <v>0.76</v>
          </cell>
          <cell r="Y455" t="str">
            <v/>
          </cell>
          <cell r="Z455" t="str">
            <v/>
          </cell>
          <cell r="AA455" t="str">
            <v/>
          </cell>
          <cell r="AB455" t="str">
            <v/>
          </cell>
          <cell r="AC455" t="str">
            <v/>
          </cell>
          <cell r="AD455" t="str">
            <v/>
          </cell>
          <cell r="AE455" t="str">
            <v/>
          </cell>
        </row>
        <row r="456">
          <cell r="E456" t="str">
            <v>Malta</v>
          </cell>
          <cell r="F456" t="str">
            <v>Malta</v>
          </cell>
          <cell r="G456">
            <v>0.41651499999999997</v>
          </cell>
          <cell r="H456">
            <v>0.295559</v>
          </cell>
          <cell r="I456">
            <v>1507.3509</v>
          </cell>
          <cell r="J456">
            <v>1655.1304</v>
          </cell>
          <cell r="K456">
            <v>1596.0186</v>
          </cell>
          <cell r="L456">
            <v>0.54</v>
          </cell>
          <cell r="M456">
            <v>2006</v>
          </cell>
          <cell r="N456" t="str">
            <v>15-64</v>
          </cell>
          <cell r="O456" t="str">
            <v>EMCDDA</v>
          </cell>
          <cell r="P456" t="str">
            <v>I</v>
          </cell>
          <cell r="R456" t="str">
            <v>problem users </v>
          </cell>
          <cell r="S456" t="str">
            <v>Y</v>
          </cell>
          <cell r="T456">
            <v>0.51</v>
          </cell>
          <cell r="U456">
            <v>0.56</v>
          </cell>
          <cell r="V456">
            <v>0.54</v>
          </cell>
          <cell r="W456">
            <v>0.56</v>
          </cell>
          <cell r="X456">
            <v>0.51</v>
          </cell>
          <cell r="Y456">
            <v>0.54</v>
          </cell>
          <cell r="Z456" t="str">
            <v/>
          </cell>
          <cell r="AA456" t="str">
            <v/>
          </cell>
          <cell r="AB456" t="str">
            <v/>
          </cell>
          <cell r="AC456" t="str">
            <v/>
          </cell>
          <cell r="AD456" t="str">
            <v/>
          </cell>
          <cell r="AE456">
            <v>1606</v>
          </cell>
          <cell r="AG456">
            <v>1</v>
          </cell>
        </row>
        <row r="457">
          <cell r="E457" t="str">
            <v>Netherlands</v>
          </cell>
          <cell r="F457" t="str">
            <v>Netherlands</v>
          </cell>
          <cell r="G457">
            <v>16.612988</v>
          </cell>
          <cell r="H457">
            <v>11.129239</v>
          </cell>
          <cell r="I457">
            <v>17806.7824</v>
          </cell>
          <cell r="J457">
            <v>17806.7824</v>
          </cell>
          <cell r="K457">
            <v>17806.7824</v>
          </cell>
          <cell r="L457">
            <v>0.16</v>
          </cell>
          <cell r="M457">
            <v>2008</v>
          </cell>
          <cell r="N457" t="str">
            <v>15-64</v>
          </cell>
          <cell r="O457" t="str">
            <v>EMCDDA</v>
          </cell>
          <cell r="P457" t="str">
            <v>I</v>
          </cell>
          <cell r="R457" t="str">
            <v>Problem Opioid users</v>
          </cell>
          <cell r="S457" t="str">
            <v>Y</v>
          </cell>
          <cell r="T457">
            <v>0.16</v>
          </cell>
          <cell r="U457">
            <v>0.16</v>
          </cell>
          <cell r="V457">
            <v>0.16</v>
          </cell>
          <cell r="W457">
            <v>0.16</v>
          </cell>
          <cell r="X457">
            <v>0.16</v>
          </cell>
          <cell r="Y457">
            <v>0.16</v>
          </cell>
          <cell r="Z457" t="str">
            <v/>
          </cell>
          <cell r="AA457" t="str">
            <v/>
          </cell>
          <cell r="AB457" t="str">
            <v/>
          </cell>
          <cell r="AC457" t="str">
            <v/>
          </cell>
          <cell r="AD457" t="str">
            <v/>
          </cell>
          <cell r="AE457">
            <v>17700</v>
          </cell>
          <cell r="AG457">
            <v>1</v>
          </cell>
        </row>
        <row r="458">
          <cell r="E458" t="str">
            <v>Norway</v>
          </cell>
          <cell r="F458" t="str">
            <v>Norway</v>
          </cell>
          <cell r="G458">
            <v>4.8831109999999995</v>
          </cell>
          <cell r="H458">
            <v>3.251853</v>
          </cell>
          <cell r="I458">
            <v>6828.8913</v>
          </cell>
          <cell r="J458">
            <v>12682.226700000001</v>
          </cell>
          <cell r="K458">
            <v>9755.559</v>
          </cell>
          <cell r="L458">
            <v>0.3</v>
          </cell>
          <cell r="M458">
            <v>2008</v>
          </cell>
          <cell r="N458" t="str">
            <v>15-64</v>
          </cell>
          <cell r="O458" t="str">
            <v>Government source</v>
          </cell>
          <cell r="P458" t="str">
            <v>I</v>
          </cell>
          <cell r="R458" t="str">
            <v>Reitox 2009, 2008 national estimates (table 5)- heroin only (9,450 (6,600-12,300))</v>
          </cell>
          <cell r="S458" t="str">
            <v>Y</v>
          </cell>
          <cell r="T458">
            <v>0.21</v>
          </cell>
          <cell r="U458">
            <v>0.39</v>
          </cell>
          <cell r="Y458" t="str">
            <v/>
          </cell>
          <cell r="Z458" t="str">
            <v/>
          </cell>
          <cell r="AA458" t="str">
            <v/>
          </cell>
          <cell r="AB458" t="str">
            <v/>
          </cell>
          <cell r="AC458" t="str">
            <v/>
          </cell>
          <cell r="AD458" t="str">
            <v/>
          </cell>
          <cell r="AE458" t="str">
            <v/>
          </cell>
        </row>
        <row r="459">
          <cell r="E459" t="str">
            <v>Poland</v>
          </cell>
          <cell r="F459" t="str">
            <v>Poland</v>
          </cell>
          <cell r="G459">
            <v>38.27666000000001</v>
          </cell>
          <cell r="H459">
            <v>27.405711</v>
          </cell>
          <cell r="I459">
            <v>27405.711</v>
          </cell>
          <cell r="J459">
            <v>27405.711</v>
          </cell>
          <cell r="K459">
            <v>27405.711</v>
          </cell>
          <cell r="L459">
            <v>0.1</v>
          </cell>
          <cell r="M459">
            <v>2010</v>
          </cell>
          <cell r="N459" t="str">
            <v>15-75</v>
          </cell>
          <cell r="O459" t="str">
            <v>ARQ</v>
          </cell>
          <cell r="P459" t="str">
            <v>HHS</v>
          </cell>
          <cell r="S459" t="str">
            <v>Y</v>
          </cell>
          <cell r="T459">
            <v>0.1</v>
          </cell>
          <cell r="U459">
            <v>0.1</v>
          </cell>
          <cell r="V459">
            <v>0.1</v>
          </cell>
          <cell r="W459">
            <v>0.1</v>
          </cell>
          <cell r="X459">
            <v>0.1</v>
          </cell>
          <cell r="Y459" t="str">
            <v/>
          </cell>
          <cell r="Z459">
            <v>0.1</v>
          </cell>
          <cell r="AA459" t="str">
            <v/>
          </cell>
          <cell r="AB459" t="str">
            <v/>
          </cell>
          <cell r="AC459" t="str">
            <v/>
          </cell>
          <cell r="AD459" t="str">
            <v/>
          </cell>
          <cell r="AE459" t="str">
            <v/>
          </cell>
          <cell r="AG459">
            <v>1</v>
          </cell>
        </row>
        <row r="460">
          <cell r="E460" t="str">
            <v>Portugal</v>
          </cell>
          <cell r="F460" t="str">
            <v>Portugal</v>
          </cell>
          <cell r="G460">
            <v>10.675572</v>
          </cell>
          <cell r="H460">
            <v>7.1466009999999995</v>
          </cell>
          <cell r="I460">
            <v>27400</v>
          </cell>
          <cell r="J460">
            <v>27400</v>
          </cell>
          <cell r="K460">
            <v>27400</v>
          </cell>
          <cell r="L460">
            <v>0.3833990452244361</v>
          </cell>
          <cell r="M460">
            <v>2007</v>
          </cell>
          <cell r="N460" t="str">
            <v>15-64</v>
          </cell>
          <cell r="O460" t="str">
            <v>ARQ</v>
          </cell>
          <cell r="P460" t="str">
            <v>I</v>
          </cell>
          <cell r="R460" t="str">
            <v>Problem Opioid users</v>
          </cell>
          <cell r="S460" t="str">
            <v>Y</v>
          </cell>
          <cell r="T460">
            <v>0.3833990452244361</v>
          </cell>
          <cell r="U460">
            <v>0.3833990452244361</v>
          </cell>
          <cell r="Y460" t="str">
            <v/>
          </cell>
          <cell r="Z460">
            <v>0.3</v>
          </cell>
          <cell r="AA460">
            <v>0.003</v>
          </cell>
          <cell r="AB460" t="str">
            <v/>
          </cell>
          <cell r="AC460" t="str">
            <v/>
          </cell>
          <cell r="AD460" t="str">
            <v/>
          </cell>
          <cell r="AE460">
            <v>27400</v>
          </cell>
          <cell r="AG460">
            <v>1</v>
          </cell>
        </row>
        <row r="461">
          <cell r="E461" t="str">
            <v>Slovakia</v>
          </cell>
          <cell r="F461" t="str">
            <v>Slovakia</v>
          </cell>
          <cell r="G461">
            <v>5.4621189999999995</v>
          </cell>
          <cell r="H461">
            <v>3.976038</v>
          </cell>
          <cell r="I461">
            <v>3976.0380000000005</v>
          </cell>
          <cell r="J461">
            <v>9940.095</v>
          </cell>
          <cell r="K461">
            <v>5168.8494</v>
          </cell>
          <cell r="L461">
            <v>0.13</v>
          </cell>
          <cell r="M461">
            <v>2008</v>
          </cell>
          <cell r="N461" t="str">
            <v>15-64</v>
          </cell>
          <cell r="O461" t="str">
            <v>EMCDDA</v>
          </cell>
          <cell r="P461" t="str">
            <v>I</v>
          </cell>
          <cell r="R461" t="str">
            <v>Problem Opioid users</v>
          </cell>
          <cell r="S461" t="str">
            <v>Y</v>
          </cell>
          <cell r="T461">
            <v>0.1</v>
          </cell>
          <cell r="U461">
            <v>0.25</v>
          </cell>
          <cell r="V461">
            <v>0.13</v>
          </cell>
          <cell r="W461">
            <v>0.25</v>
          </cell>
          <cell r="X461">
            <v>0.1</v>
          </cell>
          <cell r="Y461">
            <v>0.13</v>
          </cell>
          <cell r="Z461" t="str">
            <v/>
          </cell>
          <cell r="AA461" t="str">
            <v/>
          </cell>
          <cell r="AB461" t="str">
            <v/>
          </cell>
          <cell r="AC461" t="str">
            <v/>
          </cell>
          <cell r="AD461" t="str">
            <v/>
          </cell>
          <cell r="AE461" t="str">
            <v/>
          </cell>
        </row>
        <row r="462">
          <cell r="E462" t="str">
            <v>Slovenia</v>
          </cell>
          <cell r="F462" t="str">
            <v>Slovenia</v>
          </cell>
          <cell r="G462">
            <v>2.02968</v>
          </cell>
          <cell r="H462">
            <v>1.4132049999999998</v>
          </cell>
          <cell r="I462">
            <v>10651.565494280976</v>
          </cell>
          <cell r="J462">
            <v>10651.565494280976</v>
          </cell>
          <cell r="K462">
            <v>10654</v>
          </cell>
          <cell r="L462">
            <v>0.7538892092796161</v>
          </cell>
          <cell r="M462">
            <v>2004</v>
          </cell>
          <cell r="N462" t="str">
            <v>15-64</v>
          </cell>
          <cell r="O462" t="str">
            <v>ARQ</v>
          </cell>
          <cell r="P462" t="str">
            <v>I</v>
          </cell>
          <cell r="R462" t="str">
            <v>Problem drug users</v>
          </cell>
          <cell r="S462" t="str">
            <v>Y</v>
          </cell>
          <cell r="T462">
            <v>0.7537169408741815</v>
          </cell>
          <cell r="U462">
            <v>0.7537169408741815</v>
          </cell>
          <cell r="V462">
            <v>0.7538892092796161</v>
          </cell>
          <cell r="W462">
            <v>0.7537169408741815</v>
          </cell>
          <cell r="X462">
            <v>0.7537169408741815</v>
          </cell>
          <cell r="Y462">
            <v>0.7538892092796161</v>
          </cell>
          <cell r="Z462" t="str">
            <v/>
          </cell>
          <cell r="AA462" t="str">
            <v/>
          </cell>
          <cell r="AB462" t="str">
            <v/>
          </cell>
          <cell r="AC462" t="str">
            <v/>
          </cell>
          <cell r="AD462" t="str">
            <v/>
          </cell>
          <cell r="AE462">
            <v>10654</v>
          </cell>
        </row>
        <row r="463">
          <cell r="E463" t="str">
            <v>Spain</v>
          </cell>
          <cell r="F463" t="str">
            <v>Spain</v>
          </cell>
          <cell r="G463">
            <v>46.076989000000005</v>
          </cell>
          <cell r="H463">
            <v>31.363576000000002</v>
          </cell>
          <cell r="I463">
            <v>37636.2912</v>
          </cell>
          <cell r="J463">
            <v>40772.6488</v>
          </cell>
          <cell r="K463">
            <v>40772.6488</v>
          </cell>
          <cell r="L463">
            <v>0.13</v>
          </cell>
          <cell r="M463">
            <v>2008</v>
          </cell>
          <cell r="N463" t="str">
            <v>15-64</v>
          </cell>
          <cell r="O463" t="str">
            <v>EMCDDA</v>
          </cell>
          <cell r="P463" t="str">
            <v>I</v>
          </cell>
          <cell r="R463" t="str">
            <v>Problem Opioid users</v>
          </cell>
          <cell r="S463" t="str">
            <v>Y</v>
          </cell>
          <cell r="T463">
            <v>0.12</v>
          </cell>
          <cell r="U463">
            <v>0.13</v>
          </cell>
          <cell r="V463">
            <v>0.13</v>
          </cell>
          <cell r="W463">
            <v>0.13</v>
          </cell>
          <cell r="X463">
            <v>0.13</v>
          </cell>
          <cell r="Y463">
            <v>0.13</v>
          </cell>
          <cell r="Z463" t="str">
            <v/>
          </cell>
          <cell r="AA463" t="str">
            <v/>
          </cell>
          <cell r="AB463" t="str">
            <v/>
          </cell>
          <cell r="AC463" t="str">
            <v/>
          </cell>
          <cell r="AD463" t="str">
            <v/>
          </cell>
          <cell r="AE463">
            <v>39200</v>
          </cell>
          <cell r="AG463">
            <v>1</v>
          </cell>
        </row>
        <row r="464">
          <cell r="E464" t="str">
            <v>Sweden</v>
          </cell>
          <cell r="F464" t="str">
            <v>Sweden</v>
          </cell>
          <cell r="G464">
            <v>9.379687</v>
          </cell>
          <cell r="H464">
            <v>6.118233</v>
          </cell>
          <cell r="I464">
            <v>11624.6427</v>
          </cell>
          <cell r="J464">
            <v>17131.0524</v>
          </cell>
          <cell r="K464">
            <v>14071.9359</v>
          </cell>
          <cell r="L464">
            <v>0.23</v>
          </cell>
          <cell r="M464">
            <v>2007</v>
          </cell>
          <cell r="N464" t="str">
            <v>15-64</v>
          </cell>
          <cell r="O464" t="str">
            <v>ARQ</v>
          </cell>
          <cell r="P464" t="str">
            <v>I</v>
          </cell>
          <cell r="R464" t="str">
            <v>Problem drug users</v>
          </cell>
          <cell r="S464" t="str">
            <v>Y</v>
          </cell>
          <cell r="T464">
            <v>0.19</v>
          </cell>
          <cell r="U464">
            <v>0.28</v>
          </cell>
          <cell r="V464">
            <v>0.48216535721996856</v>
          </cell>
          <cell r="W464">
            <v>0.48216535721996856</v>
          </cell>
          <cell r="X464">
            <v>0.48216535721996856</v>
          </cell>
          <cell r="Y464">
            <v>0.48216535721996856</v>
          </cell>
          <cell r="Z464" t="str">
            <v/>
          </cell>
          <cell r="AA464" t="str">
            <v/>
          </cell>
          <cell r="AB464" t="str">
            <v/>
          </cell>
          <cell r="AC464" t="str">
            <v/>
          </cell>
          <cell r="AD464" t="str">
            <v/>
          </cell>
          <cell r="AE464">
            <v>29500</v>
          </cell>
          <cell r="AG464">
            <v>1</v>
          </cell>
        </row>
        <row r="465">
          <cell r="E465" t="str">
            <v>Switzerland</v>
          </cell>
          <cell r="F465" t="str">
            <v>Switzerland</v>
          </cell>
          <cell r="G465">
            <v>7.664318000000001</v>
          </cell>
          <cell r="H465">
            <v>5.21647</v>
          </cell>
          <cell r="I465">
            <v>10432.94</v>
          </cell>
          <cell r="J465">
            <v>10432.94</v>
          </cell>
          <cell r="K465">
            <v>10432.94</v>
          </cell>
          <cell r="L465">
            <v>0.2</v>
          </cell>
          <cell r="M465">
            <v>2009</v>
          </cell>
          <cell r="N465" t="str">
            <v>15-64</v>
          </cell>
          <cell r="O465" t="str">
            <v>ARQ</v>
          </cell>
          <cell r="P465" t="str">
            <v>I</v>
          </cell>
          <cell r="S465" t="str">
            <v>Y</v>
          </cell>
          <cell r="T465">
            <v>0.2</v>
          </cell>
          <cell r="U465">
            <v>0.2</v>
          </cell>
          <cell r="Y465" t="str">
            <v/>
          </cell>
          <cell r="Z465" t="str">
            <v/>
          </cell>
          <cell r="AA465" t="str">
            <v/>
          </cell>
          <cell r="AB465" t="str">
            <v/>
          </cell>
          <cell r="AC465" t="str">
            <v/>
          </cell>
          <cell r="AD465" t="str">
            <v/>
          </cell>
          <cell r="AE465" t="str">
            <v/>
          </cell>
          <cell r="AG465">
            <v>0</v>
          </cell>
        </row>
        <row r="466">
          <cell r="Y466" t="str">
            <v/>
          </cell>
          <cell r="Z466" t="str">
            <v/>
          </cell>
          <cell r="AA466" t="str">
            <v/>
          </cell>
          <cell r="AB466" t="str">
            <v/>
          </cell>
          <cell r="AC466" t="str">
            <v/>
          </cell>
          <cell r="AD466" t="str">
            <v/>
          </cell>
          <cell r="AE466" t="str">
            <v/>
          </cell>
        </row>
        <row r="467">
          <cell r="Y467" t="str">
            <v/>
          </cell>
          <cell r="Z467" t="str">
            <v/>
          </cell>
          <cell r="AA467" t="str">
            <v/>
          </cell>
          <cell r="AB467" t="str">
            <v/>
          </cell>
          <cell r="AC467" t="str">
            <v/>
          </cell>
          <cell r="AD467" t="str">
            <v/>
          </cell>
          <cell r="AE467" t="str">
            <v/>
          </cell>
        </row>
        <row r="468">
          <cell r="E468" t="str">
            <v>United Kingdom (Scotland)</v>
          </cell>
          <cell r="F468" t="str">
            <v>United Kingdom (Scotland)</v>
          </cell>
          <cell r="G468">
            <v>5.2221</v>
          </cell>
          <cell r="H468">
            <v>3.491</v>
          </cell>
          <cell r="I468">
            <v>58299.7</v>
          </cell>
          <cell r="J468">
            <v>61092.5</v>
          </cell>
          <cell r="K468">
            <v>59696.1</v>
          </cell>
          <cell r="L468">
            <v>1.71</v>
          </cell>
          <cell r="M468">
            <v>2010</v>
          </cell>
          <cell r="N468" t="str">
            <v>15-64</v>
          </cell>
          <cell r="O468" t="str">
            <v>Government Report</v>
          </cell>
          <cell r="P468" t="str">
            <v>I</v>
          </cell>
          <cell r="R468" t="str">
            <v>Est National and Local Prevalence NHS</v>
          </cell>
          <cell r="S468" t="str">
            <v>Y</v>
          </cell>
          <cell r="T468">
            <v>1.67</v>
          </cell>
          <cell r="U468">
            <v>1.75</v>
          </cell>
          <cell r="V468">
            <v>1.63</v>
          </cell>
          <cell r="W468">
            <v>1.67</v>
          </cell>
          <cell r="X468">
            <v>1.591</v>
          </cell>
          <cell r="Y468">
            <v>1.63</v>
          </cell>
          <cell r="Z468" t="str">
            <v/>
          </cell>
          <cell r="AA468" t="str">
            <v/>
          </cell>
          <cell r="AB468" t="str">
            <v/>
          </cell>
          <cell r="AC468" t="str">
            <v/>
          </cell>
          <cell r="AD468" t="str">
            <v/>
          </cell>
          <cell r="AE468" t="str">
            <v/>
          </cell>
          <cell r="AG468">
            <v>0</v>
          </cell>
        </row>
        <row r="469">
          <cell r="E469" t="str">
            <v>United Kingdom (Northern Ireland)</v>
          </cell>
          <cell r="F469" t="str">
            <v>United Kingdom (Northern Ireland)</v>
          </cell>
          <cell r="G469">
            <v>1.7994</v>
          </cell>
          <cell r="H469">
            <v>1.1812</v>
          </cell>
          <cell r="I469">
            <v>1429.2519999999997</v>
          </cell>
          <cell r="J469">
            <v>2067.1</v>
          </cell>
          <cell r="K469">
            <v>1511.9360000000001</v>
          </cell>
          <cell r="L469">
            <v>0.128</v>
          </cell>
          <cell r="M469">
            <v>2006</v>
          </cell>
          <cell r="N469" t="str">
            <v>15-64</v>
          </cell>
          <cell r="O469" t="str">
            <v>Government Report</v>
          </cell>
          <cell r="P469" t="str">
            <v>I</v>
          </cell>
          <cell r="R469" t="str">
            <v>UK National Report 2010</v>
          </cell>
          <cell r="S469" t="str">
            <v>Y</v>
          </cell>
          <cell r="T469">
            <v>0.121</v>
          </cell>
          <cell r="U469">
            <v>0.175</v>
          </cell>
          <cell r="V469">
            <v>0.128</v>
          </cell>
          <cell r="W469">
            <v>0.175</v>
          </cell>
          <cell r="X469">
            <v>0.12</v>
          </cell>
          <cell r="Y469">
            <v>0.128</v>
          </cell>
          <cell r="Z469" t="str">
            <v/>
          </cell>
          <cell r="AA469" t="str">
            <v/>
          </cell>
          <cell r="AB469" t="str">
            <v/>
          </cell>
          <cell r="AC469" t="str">
            <v/>
          </cell>
          <cell r="AD469" t="str">
            <v/>
          </cell>
          <cell r="AE469" t="str">
            <v/>
          </cell>
          <cell r="AG469">
            <v>0</v>
          </cell>
        </row>
        <row r="470">
          <cell r="E470" t="str">
            <v>United Kingdom (England and Wales)</v>
          </cell>
          <cell r="F470" t="str">
            <v>United Kingdom (England and Wales)</v>
          </cell>
          <cell r="G470">
            <v>55.2405</v>
          </cell>
          <cell r="H470">
            <v>36.413599999999995</v>
          </cell>
          <cell r="I470">
            <v>272043.08255183586</v>
          </cell>
          <cell r="J470">
            <v>283068.26421772444</v>
          </cell>
          <cell r="K470">
            <v>276092.1492697663</v>
          </cell>
          <cell r="L470">
            <v>0.7582116277153763</v>
          </cell>
          <cell r="M470">
            <v>2010</v>
          </cell>
          <cell r="N470" t="str">
            <v>15-64</v>
          </cell>
          <cell r="O470" t="str">
            <v>Government Report</v>
          </cell>
          <cell r="P470" t="str">
            <v>I</v>
          </cell>
          <cell r="R470" t="str">
            <v>UK National Report 2011</v>
          </cell>
          <cell r="S470" t="str">
            <v>Y</v>
          </cell>
          <cell r="T470">
            <v>0.7470919726471315</v>
          </cell>
          <cell r="U470">
            <v>0.7773696207398456</v>
          </cell>
          <cell r="V470">
            <v>0.79</v>
          </cell>
          <cell r="W470">
            <v>0.8197564196558684</v>
          </cell>
          <cell r="X470">
            <v>0.7695848082475719</v>
          </cell>
          <cell r="Y470">
            <v>0.79</v>
          </cell>
          <cell r="Z470" t="str">
            <v/>
          </cell>
          <cell r="AA470" t="str">
            <v/>
          </cell>
          <cell r="AB470" t="str">
            <v/>
          </cell>
          <cell r="AC470" t="str">
            <v/>
          </cell>
          <cell r="AD470" t="str">
            <v/>
          </cell>
          <cell r="AE470" t="str">
            <v/>
          </cell>
          <cell r="AG470">
            <v>1</v>
          </cell>
        </row>
        <row r="474">
          <cell r="E474" t="str">
            <v>Subtotal I</v>
          </cell>
          <cell r="G474">
            <v>484.59070199999985</v>
          </cell>
          <cell r="H474">
            <v>324.20717507999996</v>
          </cell>
          <cell r="I474">
            <v>1082047.6267415518</v>
          </cell>
          <cell r="J474">
            <v>1411848.347304138</v>
          </cell>
          <cell r="K474">
            <v>1246424.9301135498</v>
          </cell>
          <cell r="L474">
            <v>0.3844532218653049</v>
          </cell>
        </row>
        <row r="476">
          <cell r="E476" t="str">
            <v>United Kingdom</v>
          </cell>
          <cell r="F476" t="str">
            <v>United Kingdom</v>
          </cell>
          <cell r="G476">
            <v>62.03557</v>
          </cell>
          <cell r="H476">
            <v>40.972517999999994</v>
          </cell>
          <cell r="I476">
            <v>331772.03455183585</v>
          </cell>
          <cell r="J476">
            <v>346227.8642177244</v>
          </cell>
          <cell r="K476">
            <v>337300.1852697663</v>
          </cell>
          <cell r="L476">
            <v>0.8232351872290747</v>
          </cell>
          <cell r="M476">
            <v>2007</v>
          </cell>
          <cell r="N476" t="str">
            <v>16-59</v>
          </cell>
          <cell r="O476" t="str">
            <v>Government source</v>
          </cell>
          <cell r="P476" t="str">
            <v>HHS</v>
          </cell>
          <cell r="R476" t="str">
            <v>Back Calculated</v>
          </cell>
          <cell r="S476" t="str">
            <v>N</v>
          </cell>
          <cell r="T476">
            <v>0.8097428489794938</v>
          </cell>
          <cell r="U476">
            <v>0.8450246192282459</v>
          </cell>
        </row>
        <row r="479">
          <cell r="E479" t="str">
            <v>Andorra</v>
          </cell>
          <cell r="F479" t="str">
            <v>Andorra</v>
          </cell>
          <cell r="G479">
            <v>0.08486400000000001</v>
          </cell>
          <cell r="H479">
            <v>0.06059289600000001</v>
          </cell>
          <cell r="I479">
            <v>0</v>
          </cell>
          <cell r="J479">
            <v>0</v>
          </cell>
          <cell r="S479" t="str">
            <v>N</v>
          </cell>
        </row>
        <row r="480">
          <cell r="E480" t="str">
            <v>Channel Islands</v>
          </cell>
          <cell r="F480" t="str">
            <v>Channel Islands</v>
          </cell>
          <cell r="G480">
            <v>0.15335200000000002</v>
          </cell>
          <cell r="H480">
            <v>0.10560299999999999</v>
          </cell>
          <cell r="I480">
            <v>0</v>
          </cell>
          <cell r="J480">
            <v>0</v>
          </cell>
          <cell r="S480" t="str">
            <v>N</v>
          </cell>
        </row>
        <row r="481">
          <cell r="E481" t="str">
            <v>Faeroe Islands</v>
          </cell>
          <cell r="F481" t="str">
            <v>Faeroe Islands</v>
          </cell>
          <cell r="G481">
            <v>0.048708</v>
          </cell>
          <cell r="H481">
            <v>0.031270536</v>
          </cell>
          <cell r="I481">
            <v>0</v>
          </cell>
          <cell r="J481">
            <v>0</v>
          </cell>
          <cell r="S481" t="str">
            <v>N</v>
          </cell>
        </row>
        <row r="482">
          <cell r="E482" t="str">
            <v>Gibraltar</v>
          </cell>
          <cell r="F482" t="str">
            <v>Gibraltar</v>
          </cell>
          <cell r="G482">
            <v>0.029244</v>
          </cell>
          <cell r="H482">
            <v>0.019242551999999996</v>
          </cell>
          <cell r="I482">
            <v>0</v>
          </cell>
          <cell r="J482">
            <v>0</v>
          </cell>
          <cell r="S482" t="str">
            <v>N</v>
          </cell>
        </row>
        <row r="483">
          <cell r="E483" t="str">
            <v>Greenland</v>
          </cell>
          <cell r="F483" t="str">
            <v>Greenland</v>
          </cell>
          <cell r="G483">
            <v>0.057296</v>
          </cell>
          <cell r="H483">
            <v>0.040221792</v>
          </cell>
          <cell r="I483">
            <v>0</v>
          </cell>
          <cell r="J483">
            <v>0</v>
          </cell>
          <cell r="S483" t="str">
            <v>N</v>
          </cell>
        </row>
        <row r="484">
          <cell r="E484" t="str">
            <v>Isle of Man</v>
          </cell>
          <cell r="F484" t="str">
            <v>Isle of Man</v>
          </cell>
          <cell r="G484">
            <v>0.082869</v>
          </cell>
          <cell r="H484">
            <v>0.054030588000000004</v>
          </cell>
          <cell r="I484">
            <v>0</v>
          </cell>
          <cell r="J484">
            <v>0</v>
          </cell>
          <cell r="S484" t="str">
            <v>N</v>
          </cell>
        </row>
        <row r="485">
          <cell r="E485" t="str">
            <v>Monaco</v>
          </cell>
          <cell r="F485" t="str">
            <v>Monaco</v>
          </cell>
          <cell r="G485">
            <v>0.035406999999999994</v>
          </cell>
          <cell r="H485">
            <v>0.021527455999999997</v>
          </cell>
          <cell r="I485">
            <v>0</v>
          </cell>
          <cell r="J485">
            <v>0</v>
          </cell>
          <cell r="S485" t="str">
            <v>N</v>
          </cell>
        </row>
        <row r="486">
          <cell r="E486" t="str">
            <v>San Marino</v>
          </cell>
          <cell r="F486" t="str">
            <v>San Marino</v>
          </cell>
          <cell r="G486">
            <v>0.031534</v>
          </cell>
          <cell r="H486">
            <v>0.020623236</v>
          </cell>
          <cell r="I486">
            <v>0</v>
          </cell>
          <cell r="J486">
            <v>0</v>
          </cell>
          <cell r="S486" t="str">
            <v>N</v>
          </cell>
        </row>
        <row r="488">
          <cell r="E488" t="str">
            <v>Subtotal II:</v>
          </cell>
          <cell r="G488">
            <v>0.523274</v>
          </cell>
          <cell r="H488">
            <v>0.353112056</v>
          </cell>
          <cell r="I488">
            <v>0</v>
          </cell>
          <cell r="J488">
            <v>0</v>
          </cell>
          <cell r="K488">
            <v>1357.5506760868197</v>
          </cell>
        </row>
        <row r="490">
          <cell r="E490" t="str">
            <v>Western Europe</v>
          </cell>
          <cell r="F490">
            <v>1</v>
          </cell>
          <cell r="G490">
            <v>485.11397599999987</v>
          </cell>
          <cell r="H490">
            <v>324.56028713599994</v>
          </cell>
          <cell r="I490">
            <v>1082047.6267415518</v>
          </cell>
          <cell r="J490">
            <v>1411848.347304138</v>
          </cell>
          <cell r="K490">
            <v>1247782.4807896367</v>
          </cell>
          <cell r="T490">
            <v>0.12</v>
          </cell>
          <cell r="U490">
            <v>0.81</v>
          </cell>
        </row>
        <row r="491">
          <cell r="F491" t="str">
            <v>MIN</v>
          </cell>
          <cell r="H491">
            <v>324.56028713599994</v>
          </cell>
          <cell r="I491">
            <v>1082471.3612087518</v>
          </cell>
          <cell r="L491">
            <v>0.33351935036807684</v>
          </cell>
        </row>
        <row r="492">
          <cell r="F492" t="str">
            <v>MAX</v>
          </cell>
          <cell r="H492">
            <v>324.56028713599994</v>
          </cell>
          <cell r="I492">
            <v>1414708.554957738</v>
          </cell>
          <cell r="L492">
            <v>0.4358846756765824</v>
          </cell>
        </row>
        <row r="493">
          <cell r="F493" t="str">
            <v>BE</v>
          </cell>
          <cell r="H493">
            <v>324.56028713599994</v>
          </cell>
          <cell r="I493">
            <v>1247782.4807896367</v>
          </cell>
          <cell r="L493">
            <v>0.384453221865305</v>
          </cell>
        </row>
        <row r="495">
          <cell r="E495" t="str">
            <v>Europe I (Subregion- MIN)</v>
          </cell>
          <cell r="G495">
            <v>812.3378409999998</v>
          </cell>
          <cell r="H495">
            <v>554.9338261359999</v>
          </cell>
          <cell r="I495">
            <v>3855060.175176232</v>
          </cell>
          <cell r="K495">
            <v>0.47456365819799756</v>
          </cell>
          <cell r="L495">
            <v>0.6946882661702184</v>
          </cell>
        </row>
        <row r="496">
          <cell r="E496" t="str">
            <v>Europe I (Subregion- MAX)</v>
          </cell>
          <cell r="G496">
            <v>812.3378409999998</v>
          </cell>
          <cell r="H496">
            <v>554.9338261359999</v>
          </cell>
          <cell r="I496">
            <v>4280233.294320345</v>
          </cell>
          <cell r="K496">
            <v>0.5269031033998508</v>
          </cell>
          <cell r="L496">
            <v>0.7713051705864783</v>
          </cell>
        </row>
        <row r="497">
          <cell r="E497" t="str">
            <v>Europe II (No Subregion, w/ Values)</v>
          </cell>
        </row>
        <row r="498">
          <cell r="E498" t="str">
            <v>Europe II (No Subregion)</v>
          </cell>
        </row>
        <row r="499">
          <cell r="E499" t="str">
            <v>Total Europe:</v>
          </cell>
          <cell r="G499">
            <v>812.3378409999998</v>
          </cell>
          <cell r="H499">
            <v>554.9338261359999</v>
          </cell>
          <cell r="T499">
            <v>0.10274311459801821</v>
          </cell>
          <cell r="U499">
            <v>0.8406337585148879</v>
          </cell>
        </row>
        <row r="500">
          <cell r="F500" t="str">
            <v>MIN</v>
          </cell>
          <cell r="H500">
            <v>554.9338261359999</v>
          </cell>
          <cell r="I500">
            <v>3855060.175176232</v>
          </cell>
          <cell r="L500">
            <v>0.6946882661702184</v>
          </cell>
        </row>
        <row r="501">
          <cell r="F501" t="str">
            <v>MAX</v>
          </cell>
          <cell r="H501">
            <v>554.9338261359999</v>
          </cell>
          <cell r="I501">
            <v>4280233.294320345</v>
          </cell>
          <cell r="L501">
            <v>0.7713051705864783</v>
          </cell>
        </row>
        <row r="502">
          <cell r="F502" t="str">
            <v>BE</v>
          </cell>
          <cell r="H502">
            <v>554.9338261359999</v>
          </cell>
          <cell r="I502">
            <v>4057299.704765892</v>
          </cell>
          <cell r="L502">
            <v>0.731132166337172</v>
          </cell>
        </row>
        <row r="504">
          <cell r="AG504" t="str">
            <v>Updated from WDR 2011</v>
          </cell>
        </row>
        <row r="506">
          <cell r="V506" t="str">
            <v>BE</v>
          </cell>
          <cell r="W506" t="str">
            <v>Max</v>
          </cell>
          <cell r="X506" t="str">
            <v>Min</v>
          </cell>
          <cell r="Y506" t="str">
            <v>Opioids</v>
          </cell>
          <cell r="Z506" t="str">
            <v>Heroin</v>
          </cell>
          <cell r="AA506" t="str">
            <v>Opium</v>
          </cell>
          <cell r="AB506" t="str">
            <v>Illicit morphine</v>
          </cell>
          <cell r="AC506" t="str">
            <v>Prescription opioids</v>
          </cell>
          <cell r="AD506" t="str">
            <v>Other illicit opioids</v>
          </cell>
          <cell r="AE506" t="str">
            <v>ProblemUsers</v>
          </cell>
          <cell r="AF506" t="str">
            <v>IDU</v>
          </cell>
        </row>
        <row r="507">
          <cell r="E507" t="str">
            <v>Australia</v>
          </cell>
          <cell r="F507" t="str">
            <v>Australia</v>
          </cell>
          <cell r="G507">
            <v>22.268383999999998</v>
          </cell>
          <cell r="H507">
            <v>15.046135</v>
          </cell>
          <cell r="I507">
            <v>466430.185</v>
          </cell>
          <cell r="J507">
            <v>556706.995</v>
          </cell>
          <cell r="K507">
            <v>511568.59</v>
          </cell>
          <cell r="L507">
            <v>3.4</v>
          </cell>
          <cell r="M507">
            <v>2010</v>
          </cell>
          <cell r="N507" t="str">
            <v>15-64</v>
          </cell>
          <cell r="O507" t="str">
            <v>Government source</v>
          </cell>
          <cell r="P507" t="str">
            <v>HHS</v>
          </cell>
          <cell r="Q507" t="str">
            <v>a</v>
          </cell>
          <cell r="S507" t="str">
            <v>Y</v>
          </cell>
          <cell r="T507">
            <v>3.1</v>
          </cell>
          <cell r="U507">
            <v>3.7</v>
          </cell>
          <cell r="V507">
            <v>3.4</v>
          </cell>
          <cell r="W507">
            <v>0.2</v>
          </cell>
          <cell r="X507">
            <v>0.2</v>
          </cell>
          <cell r="Y507" t="str">
            <v/>
          </cell>
          <cell r="Z507">
            <v>0.2</v>
          </cell>
          <cell r="AA507" t="str">
            <v/>
          </cell>
          <cell r="AB507" t="str">
            <v/>
          </cell>
          <cell r="AC507" t="str">
            <v/>
          </cell>
          <cell r="AD507" t="str">
            <v/>
          </cell>
          <cell r="AG507">
            <v>1</v>
          </cell>
        </row>
        <row r="508">
          <cell r="E508" t="str">
            <v>New Zealand</v>
          </cell>
          <cell r="F508" t="str">
            <v>New Zealand</v>
          </cell>
          <cell r="G508">
            <v>4.368136000000001</v>
          </cell>
          <cell r="H508">
            <v>2.905029</v>
          </cell>
          <cell r="I508">
            <v>20335.202999999998</v>
          </cell>
          <cell r="J508">
            <v>43575.435</v>
          </cell>
          <cell r="K508">
            <v>31955.319000000003</v>
          </cell>
          <cell r="L508">
            <v>1.1</v>
          </cell>
          <cell r="M508">
            <v>2008</v>
          </cell>
          <cell r="N508" t="str">
            <v>16-64</v>
          </cell>
          <cell r="O508" t="str">
            <v>Government source</v>
          </cell>
          <cell r="P508" t="str">
            <v>HHS, x</v>
          </cell>
          <cell r="R508" t="str">
            <v>NZ HHS 16-64</v>
          </cell>
          <cell r="S508" t="str">
            <v>Y</v>
          </cell>
          <cell r="T508">
            <v>0.7</v>
          </cell>
          <cell r="U508">
            <v>1.5</v>
          </cell>
          <cell r="AG508">
            <v>0</v>
          </cell>
        </row>
        <row r="510">
          <cell r="E510" t="str">
            <v>Subtotal I</v>
          </cell>
          <cell r="G510">
            <v>26.636519999999997</v>
          </cell>
          <cell r="H510">
            <v>17.951164</v>
          </cell>
          <cell r="I510">
            <v>486765.388</v>
          </cell>
          <cell r="J510">
            <v>600282.4299999999</v>
          </cell>
          <cell r="K510">
            <v>543523.909</v>
          </cell>
          <cell r="L510">
            <v>3.027792008362243</v>
          </cell>
        </row>
        <row r="513">
          <cell r="E513" t="str">
            <v>Christmas Islands</v>
          </cell>
          <cell r="F513" t="str">
            <v>Christmas Islands</v>
          </cell>
          <cell r="G513">
            <v>0.0014019999999999998</v>
          </cell>
          <cell r="H513">
            <v>0.00088</v>
          </cell>
          <cell r="I513">
            <v>0</v>
          </cell>
          <cell r="J513">
            <v>0</v>
          </cell>
          <cell r="S513" t="str">
            <v>N</v>
          </cell>
        </row>
        <row r="514">
          <cell r="E514" t="str">
            <v>Cocos (Keeling) Islands</v>
          </cell>
          <cell r="F514" t="str">
            <v>Cocos (Keeling) Islands</v>
          </cell>
          <cell r="G514">
            <v>0.000596</v>
          </cell>
          <cell r="H514">
            <v>0.00037</v>
          </cell>
          <cell r="I514">
            <v>0</v>
          </cell>
          <cell r="J514">
            <v>0</v>
          </cell>
          <cell r="S514" t="str">
            <v>N</v>
          </cell>
        </row>
        <row r="515">
          <cell r="E515" t="str">
            <v>Cook Islands</v>
          </cell>
          <cell r="F515" t="str">
            <v>Cook Islands</v>
          </cell>
          <cell r="G515">
            <v>0.020288</v>
          </cell>
          <cell r="H515">
            <v>0.013187200000000001</v>
          </cell>
          <cell r="I515">
            <v>0</v>
          </cell>
          <cell r="J515">
            <v>0</v>
          </cell>
          <cell r="S515" t="str">
            <v>N</v>
          </cell>
        </row>
        <row r="516">
          <cell r="E516" t="str">
            <v>Fiji</v>
          </cell>
          <cell r="F516" t="str">
            <v>Fiji</v>
          </cell>
          <cell r="G516">
            <v>0.860623</v>
          </cell>
          <cell r="H516">
            <v>0.569142</v>
          </cell>
          <cell r="I516">
            <v>0</v>
          </cell>
          <cell r="J516">
            <v>0</v>
          </cell>
          <cell r="S516" t="str">
            <v>N</v>
          </cell>
        </row>
        <row r="517">
          <cell r="E517" t="str">
            <v>French Polynesia</v>
          </cell>
          <cell r="F517" t="str">
            <v>French Polynesia</v>
          </cell>
          <cell r="G517">
            <v>0.270764</v>
          </cell>
          <cell r="H517">
            <v>0.18505000000000002</v>
          </cell>
          <cell r="I517">
            <v>0</v>
          </cell>
          <cell r="J517">
            <v>0</v>
          </cell>
          <cell r="S517" t="str">
            <v>N</v>
          </cell>
        </row>
        <row r="518">
          <cell r="E518" t="str">
            <v>Guam</v>
          </cell>
          <cell r="F518" t="str">
            <v>Guam</v>
          </cell>
          <cell r="G518">
            <v>0.179896</v>
          </cell>
          <cell r="H518">
            <v>0.117931</v>
          </cell>
          <cell r="I518">
            <v>0</v>
          </cell>
          <cell r="J518">
            <v>0</v>
          </cell>
          <cell r="S518" t="str">
            <v>N</v>
          </cell>
        </row>
        <row r="519">
          <cell r="E519" t="str">
            <v>Kiribati</v>
          </cell>
          <cell r="F519" t="str">
            <v>Kiribati</v>
          </cell>
          <cell r="G519">
            <v>0.09954600000000001</v>
          </cell>
          <cell r="H519">
            <v>0.06211670400000001</v>
          </cell>
          <cell r="I519">
            <v>0</v>
          </cell>
          <cell r="J519">
            <v>0</v>
          </cell>
          <cell r="S519" t="str">
            <v>N</v>
          </cell>
        </row>
        <row r="520">
          <cell r="E520" t="str">
            <v>Micronesia (Federated States of)</v>
          </cell>
          <cell r="F520" t="str">
            <v>Micronesia (Federated States of)</v>
          </cell>
          <cell r="G520">
            <v>0.536188</v>
          </cell>
          <cell r="H520">
            <v>0.34549</v>
          </cell>
          <cell r="I520">
            <v>0</v>
          </cell>
          <cell r="J520">
            <v>0</v>
          </cell>
          <cell r="S520" t="str">
            <v>N</v>
          </cell>
        </row>
        <row r="521">
          <cell r="E521" t="str">
            <v>Nauru</v>
          </cell>
          <cell r="F521" t="str">
            <v>Nauru</v>
          </cell>
          <cell r="G521">
            <v>0.010255</v>
          </cell>
          <cell r="H521">
            <v>0.006696515000000001</v>
          </cell>
          <cell r="I521">
            <v>0</v>
          </cell>
          <cell r="J521">
            <v>0</v>
          </cell>
          <cell r="S521" t="str">
            <v>N</v>
          </cell>
        </row>
        <row r="522">
          <cell r="E522" t="str">
            <v>New Caledonia</v>
          </cell>
          <cell r="F522" t="str">
            <v>New Caledonia</v>
          </cell>
          <cell r="G522">
            <v>0.25087</v>
          </cell>
          <cell r="H522">
            <v>0.167473</v>
          </cell>
          <cell r="I522">
            <v>0</v>
          </cell>
          <cell r="J522">
            <v>0</v>
          </cell>
          <cell r="S522" t="str">
            <v>N</v>
          </cell>
        </row>
        <row r="523">
          <cell r="E523" t="str">
            <v>Norfolk Island</v>
          </cell>
          <cell r="F523" t="str">
            <v>Norfolk Island</v>
          </cell>
          <cell r="G523">
            <v>0.002169</v>
          </cell>
          <cell r="H523">
            <v>0.001385991</v>
          </cell>
          <cell r="I523">
            <v>0</v>
          </cell>
          <cell r="J523">
            <v>0</v>
          </cell>
          <cell r="S523" t="str">
            <v>N</v>
          </cell>
        </row>
        <row r="524">
          <cell r="E524" t="str">
            <v>Papua New Guinea</v>
          </cell>
          <cell r="F524" t="str">
            <v>Papua New Guinea</v>
          </cell>
          <cell r="G524">
            <v>6.8582659999999995</v>
          </cell>
          <cell r="H524">
            <v>3.9891010000000002</v>
          </cell>
          <cell r="I524">
            <v>0</v>
          </cell>
          <cell r="J524">
            <v>0</v>
          </cell>
          <cell r="S524" t="str">
            <v>N</v>
          </cell>
        </row>
        <row r="525">
          <cell r="E525" t="str">
            <v>Samoa</v>
          </cell>
          <cell r="F525" t="str">
            <v>Samoa</v>
          </cell>
          <cell r="G525">
            <v>0.183081</v>
          </cell>
          <cell r="H525">
            <v>0.104617</v>
          </cell>
          <cell r="I525">
            <v>0</v>
          </cell>
          <cell r="J525">
            <v>0</v>
          </cell>
          <cell r="S525" t="str">
            <v>N</v>
          </cell>
        </row>
        <row r="526">
          <cell r="E526" t="str">
            <v>Solomon Islands</v>
          </cell>
          <cell r="F526" t="str">
            <v>Solomon Islands</v>
          </cell>
          <cell r="G526">
            <v>0.5381480000000001</v>
          </cell>
          <cell r="H526">
            <v>0.307281</v>
          </cell>
          <cell r="I526">
            <v>0</v>
          </cell>
          <cell r="J526">
            <v>0</v>
          </cell>
          <cell r="S526" t="str">
            <v>N</v>
          </cell>
        </row>
        <row r="527">
          <cell r="E527" t="str">
            <v>Tuvalu</v>
          </cell>
          <cell r="F527" t="str">
            <v>Tuvalu</v>
          </cell>
          <cell r="G527">
            <v>0.009827</v>
          </cell>
          <cell r="H527">
            <v>0.0062892799999999995</v>
          </cell>
          <cell r="I527">
            <v>0</v>
          </cell>
          <cell r="J527">
            <v>0</v>
          </cell>
          <cell r="S527" t="str">
            <v>N</v>
          </cell>
        </row>
        <row r="528">
          <cell r="E528" t="str">
            <v>Vanuatu</v>
          </cell>
          <cell r="F528" t="str">
            <v>Vanuatu</v>
          </cell>
          <cell r="G528">
            <v>0.239651</v>
          </cell>
          <cell r="H528">
            <v>0.139721</v>
          </cell>
          <cell r="I528">
            <v>0</v>
          </cell>
          <cell r="J528">
            <v>0</v>
          </cell>
          <cell r="S528" t="str">
            <v>N</v>
          </cell>
        </row>
        <row r="529">
          <cell r="E529" t="str">
            <v>Wallis and Futuna Islands</v>
          </cell>
          <cell r="F529" t="str">
            <v>Wallis and Futuna Islands</v>
          </cell>
          <cell r="G529">
            <v>0.013566</v>
          </cell>
          <cell r="H529">
            <v>0.009102786</v>
          </cell>
          <cell r="I529">
            <v>0</v>
          </cell>
          <cell r="J529">
            <v>0</v>
          </cell>
          <cell r="S529" t="str">
            <v>N</v>
          </cell>
        </row>
        <row r="530">
          <cell r="E530" t="str">
            <v>Pitcairn</v>
          </cell>
          <cell r="F530" t="str">
            <v>Pitcairn</v>
          </cell>
          <cell r="G530">
            <v>0</v>
          </cell>
          <cell r="H530">
            <v>0</v>
          </cell>
          <cell r="I530">
            <v>0</v>
          </cell>
          <cell r="J530">
            <v>0</v>
          </cell>
          <cell r="S530" t="str">
            <v>N</v>
          </cell>
        </row>
        <row r="531">
          <cell r="E531" t="str">
            <v>American Samoa</v>
          </cell>
          <cell r="F531" t="str">
            <v>American Samoa</v>
          </cell>
          <cell r="G531">
            <v>0.06842000000000001</v>
          </cell>
          <cell r="H531">
            <v>0.043720379999999996</v>
          </cell>
          <cell r="I531">
            <v>0</v>
          </cell>
          <cell r="J531">
            <v>0</v>
          </cell>
          <cell r="S531" t="str">
            <v>N</v>
          </cell>
        </row>
        <row r="532">
          <cell r="E532" t="str">
            <v>Marshall Islands</v>
          </cell>
          <cell r="F532" t="str">
            <v>Marshall Islands</v>
          </cell>
          <cell r="G532">
            <v>0.054037999999999996</v>
          </cell>
          <cell r="H532">
            <v>0.031774343999999996</v>
          </cell>
          <cell r="I532">
            <v>0</v>
          </cell>
          <cell r="J532">
            <v>0</v>
          </cell>
          <cell r="S532" t="str">
            <v>N</v>
          </cell>
        </row>
        <row r="533">
          <cell r="E533" t="str">
            <v>Palau</v>
          </cell>
          <cell r="F533" t="str">
            <v>Palau</v>
          </cell>
          <cell r="G533">
            <v>0.020472</v>
          </cell>
          <cell r="H533">
            <v>0.01473984</v>
          </cell>
          <cell r="I533">
            <v>0</v>
          </cell>
          <cell r="J533">
            <v>0</v>
          </cell>
          <cell r="S533" t="str">
            <v>N</v>
          </cell>
        </row>
        <row r="534">
          <cell r="E534" t="str">
            <v>Northern Mariana Islands</v>
          </cell>
          <cell r="F534" t="str">
            <v>Northern Mariana Islands</v>
          </cell>
          <cell r="G534">
            <v>0.060917</v>
          </cell>
          <cell r="H534">
            <v>0.042885568000000006</v>
          </cell>
          <cell r="I534">
            <v>0</v>
          </cell>
          <cell r="J534">
            <v>0</v>
          </cell>
          <cell r="S534" t="str">
            <v>N</v>
          </cell>
        </row>
        <row r="535">
          <cell r="E535" t="str">
            <v>Tonga</v>
          </cell>
          <cell r="F535" t="str">
            <v>Tonga</v>
          </cell>
          <cell r="G535">
            <v>0.10405800000000001</v>
          </cell>
          <cell r="H535">
            <v>0.058957</v>
          </cell>
          <cell r="I535">
            <v>0</v>
          </cell>
          <cell r="J535">
            <v>0</v>
          </cell>
          <cell r="S535" t="str">
            <v>N</v>
          </cell>
        </row>
        <row r="538">
          <cell r="E538" t="str">
            <v>Subtotal II</v>
          </cell>
          <cell r="G538">
            <v>10.383040999999999</v>
          </cell>
          <cell r="H538">
            <v>6.217911608</v>
          </cell>
          <cell r="I538">
            <v>0</v>
          </cell>
          <cell r="J538">
            <v>0</v>
          </cell>
          <cell r="K538">
            <v>188265.4307540522</v>
          </cell>
        </row>
        <row r="540">
          <cell r="E540" t="str">
            <v>Total Oceania </v>
          </cell>
          <cell r="F540">
            <v>1</v>
          </cell>
          <cell r="G540">
            <v>37.019560999999996</v>
          </cell>
          <cell r="H540">
            <v>24.169075608</v>
          </cell>
          <cell r="I540">
            <v>486765.388</v>
          </cell>
          <cell r="J540">
            <v>600282.4299999999</v>
          </cell>
          <cell r="K540">
            <v>731789.3397540522</v>
          </cell>
          <cell r="T540">
            <v>0.9400000000000002</v>
          </cell>
          <cell r="U540">
            <v>3.48</v>
          </cell>
        </row>
        <row r="541">
          <cell r="F541" t="str">
            <v>MIN</v>
          </cell>
          <cell r="H541">
            <v>24.169075608</v>
          </cell>
          <cell r="I541">
            <v>545213.7571151999</v>
          </cell>
          <cell r="L541">
            <v>2.2558320639070426</v>
          </cell>
        </row>
        <row r="542">
          <cell r="F542" t="str">
            <v>MAX</v>
          </cell>
          <cell r="H542">
            <v>24.169075608</v>
          </cell>
          <cell r="I542">
            <v>816665.7539583999</v>
          </cell>
          <cell r="L542">
            <v>3.3789697512803607</v>
          </cell>
        </row>
        <row r="543">
          <cell r="F543" t="str">
            <v>BE</v>
          </cell>
          <cell r="H543">
            <v>24.169075608</v>
          </cell>
          <cell r="I543">
            <v>731789.3397540522</v>
          </cell>
          <cell r="L543">
            <v>3.027792008362243</v>
          </cell>
        </row>
        <row r="545">
          <cell r="E545" t="str">
            <v>Oceania I (Subregion- MIN)</v>
          </cell>
          <cell r="G545">
            <v>37.019560999999996</v>
          </cell>
          <cell r="H545">
            <v>24.169075608</v>
          </cell>
          <cell r="I545">
            <v>545213.7571151999</v>
          </cell>
          <cell r="K545">
            <v>1.47277207613348</v>
          </cell>
          <cell r="L545">
            <v>2.2558320639070426</v>
          </cell>
        </row>
        <row r="546">
          <cell r="E546" t="str">
            <v>Oceania I (Subregion- MAX)</v>
          </cell>
          <cell r="G546">
            <v>37.019560999999996</v>
          </cell>
          <cell r="H546">
            <v>24.169075608</v>
          </cell>
          <cell r="I546">
            <v>816665.7539583999</v>
          </cell>
          <cell r="K546">
            <v>2.2060384615538795</v>
          </cell>
          <cell r="L546">
            <v>3.3789697512803607</v>
          </cell>
        </row>
        <row r="547">
          <cell r="E547" t="str">
            <v>Oceania II (No Subregion, w/ Values)</v>
          </cell>
        </row>
        <row r="548">
          <cell r="E548" t="str">
            <v>Oceania II (No Subregion)</v>
          </cell>
        </row>
        <row r="549">
          <cell r="E549" t="str">
            <v>Total Oceania</v>
          </cell>
          <cell r="G549">
            <v>37.019560999999996</v>
          </cell>
          <cell r="H549">
            <v>24.169075608</v>
          </cell>
          <cell r="T549">
            <v>0.9400000000000002</v>
          </cell>
          <cell r="U549">
            <v>3.48</v>
          </cell>
        </row>
        <row r="550">
          <cell r="F550" t="str">
            <v>MIN</v>
          </cell>
          <cell r="H550">
            <v>24.169075608</v>
          </cell>
          <cell r="I550">
            <v>545213.7571151999</v>
          </cell>
          <cell r="L550">
            <v>2.2558320639070426</v>
          </cell>
        </row>
        <row r="551">
          <cell r="F551" t="str">
            <v>MAX</v>
          </cell>
          <cell r="H551">
            <v>24.169075608</v>
          </cell>
          <cell r="I551">
            <v>816665.7539583999</v>
          </cell>
          <cell r="L551">
            <v>3.3789697512803607</v>
          </cell>
        </row>
        <row r="552">
          <cell r="F552" t="str">
            <v>BE</v>
          </cell>
          <cell r="H552">
            <v>24.169075608</v>
          </cell>
          <cell r="I552">
            <v>731789.3397540522</v>
          </cell>
          <cell r="L552">
            <v>3.027792008362243</v>
          </cell>
        </row>
        <row r="555">
          <cell r="G555" t="str">
            <v>pop</v>
          </cell>
          <cell r="H555" t="str">
            <v>pop age 15-64</v>
          </cell>
          <cell r="I555" t="str">
            <v>users</v>
          </cell>
        </row>
        <row r="556">
          <cell r="F556" t="str">
            <v>OECD</v>
          </cell>
          <cell r="G556">
            <v>1206.3725510000006</v>
          </cell>
          <cell r="H556">
            <v>804.563177369</v>
          </cell>
          <cell r="I556">
            <v>13909298.30446177</v>
          </cell>
        </row>
        <row r="557">
          <cell r="F557" t="str">
            <v>Non-OECD</v>
          </cell>
          <cell r="G557">
            <v>5689.237230999998</v>
          </cell>
          <cell r="H557">
            <v>3719.8361625149983</v>
          </cell>
          <cell r="I557">
            <v>12909755.61416101</v>
          </cell>
        </row>
        <row r="558">
          <cell r="G558">
            <v>6895.609781999999</v>
          </cell>
          <cell r="H558">
            <v>4524.399339883998</v>
          </cell>
          <cell r="I558">
            <v>26819053.91862278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ioids"/>
      <sheetName val="Cannabis"/>
      <sheetName val="Cocaine"/>
      <sheetName val="ATS"/>
      <sheetName val="Ecstasy"/>
    </sheetNames>
    <sheetDataSet>
      <sheetData sheetId="1">
        <row r="1">
          <cell r="A1" t="str">
            <v>CANNABIS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Q137"/>
  <sheetViews>
    <sheetView showGridLines="0" tabSelected="1" zoomScale="50" zoomScaleNormal="50" workbookViewId="0" topLeftCell="A1">
      <selection activeCell="G23" sqref="G23"/>
    </sheetView>
  </sheetViews>
  <sheetFormatPr defaultColWidth="9.00390625" defaultRowHeight="15.75"/>
  <cols>
    <col min="2" max="2" width="9.00390625" style="3" customWidth="1"/>
    <col min="3" max="3" width="34.125" style="3" customWidth="1"/>
    <col min="4" max="4" width="19.625" style="3" customWidth="1"/>
    <col min="5" max="5" width="14.50390625" style="4" customWidth="1"/>
    <col min="6" max="6" width="13.75390625" style="5" customWidth="1"/>
    <col min="7" max="7" width="13.875" style="6" customWidth="1"/>
    <col min="8" max="8" width="22.00390625" style="6" customWidth="1"/>
    <col min="9" max="9" width="16.50390625" style="2" customWidth="1"/>
    <col min="10" max="16" width="14.00390625" style="4" customWidth="1"/>
    <col min="17" max="17" width="19.375" style="2" customWidth="1"/>
    <col min="18" max="18" width="15.875" style="0" bestFit="1" customWidth="1"/>
    <col min="19" max="19" width="17.125" style="0" bestFit="1" customWidth="1"/>
    <col min="20" max="20" width="11.375" style="0" customWidth="1"/>
    <col min="21" max="21" width="11.75390625" style="0" customWidth="1"/>
    <col min="22" max="22" width="12.375" style="0" bestFit="1" customWidth="1"/>
    <col min="23" max="23" width="17.125" style="0" bestFit="1" customWidth="1"/>
    <col min="24" max="24" width="10.25390625" style="0" bestFit="1" customWidth="1"/>
    <col min="25" max="25" width="12.625" style="0" bestFit="1" customWidth="1"/>
    <col min="26" max="26" width="10.25390625" style="0" bestFit="1" customWidth="1"/>
    <col min="68" max="16384" width="9.00390625" style="2" customWidth="1"/>
  </cols>
  <sheetData>
    <row r="1" spans="2:17" ht="30.75" customHeight="1">
      <c r="B1" s="1" t="s">
        <v>0</v>
      </c>
      <c r="C1" s="1"/>
      <c r="D1" s="1"/>
      <c r="E1" s="1"/>
      <c r="F1" s="1"/>
      <c r="G1" s="1"/>
      <c r="H1" s="1"/>
      <c r="I1" s="1"/>
      <c r="J1" s="1"/>
      <c r="K1" s="1"/>
      <c r="L1" s="1"/>
      <c r="M1" s="1"/>
      <c r="N1" s="1"/>
      <c r="O1" s="1"/>
      <c r="P1" s="1"/>
      <c r="Q1" s="1"/>
    </row>
    <row r="2" ht="9" customHeight="1" thickBot="1"/>
    <row r="3" spans="2:17" ht="30" customHeight="1" thickTop="1">
      <c r="B3" s="7" t="s">
        <v>1</v>
      </c>
      <c r="C3" s="8"/>
      <c r="D3" s="9" t="s">
        <v>2</v>
      </c>
      <c r="E3" s="10" t="s">
        <v>3</v>
      </c>
      <c r="F3" s="11" t="s">
        <v>4</v>
      </c>
      <c r="G3" s="12" t="s">
        <v>5</v>
      </c>
      <c r="H3" s="12" t="s">
        <v>6</v>
      </c>
      <c r="I3" s="10" t="s">
        <v>7</v>
      </c>
      <c r="J3" s="13" t="s">
        <v>8</v>
      </c>
      <c r="K3" s="14"/>
      <c r="L3" s="14"/>
      <c r="M3" s="14"/>
      <c r="N3" s="14"/>
      <c r="O3" s="14"/>
      <c r="P3" s="14"/>
      <c r="Q3" s="10" t="s">
        <v>9</v>
      </c>
    </row>
    <row r="4" spans="2:17" ht="15" customHeight="1">
      <c r="B4" s="15"/>
      <c r="C4" s="16"/>
      <c r="D4" s="17"/>
      <c r="E4" s="18"/>
      <c r="F4" s="19"/>
      <c r="G4" s="20"/>
      <c r="H4" s="20"/>
      <c r="I4" s="18"/>
      <c r="J4" s="21" t="s">
        <v>10</v>
      </c>
      <c r="K4" s="21" t="s">
        <v>11</v>
      </c>
      <c r="L4" s="21" t="s">
        <v>12</v>
      </c>
      <c r="M4" s="22" t="s">
        <v>13</v>
      </c>
      <c r="N4" s="22" t="s">
        <v>14</v>
      </c>
      <c r="O4" s="22" t="s">
        <v>15</v>
      </c>
      <c r="P4" s="22" t="s">
        <v>16</v>
      </c>
      <c r="Q4" s="18"/>
    </row>
    <row r="5" spans="2:17" ht="48.75" customHeight="1" thickBot="1">
      <c r="B5" s="23"/>
      <c r="C5" s="24"/>
      <c r="D5" s="25"/>
      <c r="E5" s="26"/>
      <c r="F5" s="27"/>
      <c r="G5" s="28"/>
      <c r="H5" s="28"/>
      <c r="I5" s="26"/>
      <c r="J5" s="29"/>
      <c r="K5" s="29"/>
      <c r="L5" s="29"/>
      <c r="M5" s="30"/>
      <c r="N5" s="30"/>
      <c r="O5" s="30"/>
      <c r="P5" s="30"/>
      <c r="Q5" s="26"/>
    </row>
    <row r="6" spans="2:17" ht="30" customHeight="1" thickTop="1">
      <c r="B6" s="31" t="s">
        <v>17</v>
      </c>
      <c r="C6" s="32"/>
      <c r="D6" s="32"/>
      <c r="E6" s="32"/>
      <c r="F6" s="32"/>
      <c r="G6" s="32"/>
      <c r="H6" s="32"/>
      <c r="I6" s="32"/>
      <c r="J6" s="32"/>
      <c r="K6" s="32"/>
      <c r="L6" s="32"/>
      <c r="M6" s="32"/>
      <c r="N6" s="32"/>
      <c r="O6" s="32"/>
      <c r="P6" s="32"/>
      <c r="Q6" s="33"/>
    </row>
    <row r="7" spans="2:17" ht="21" customHeight="1">
      <c r="B7" s="34" t="s">
        <v>18</v>
      </c>
      <c r="C7" s="35"/>
      <c r="D7" s="35"/>
      <c r="E7" s="35"/>
      <c r="F7" s="35"/>
      <c r="G7" s="35"/>
      <c r="H7" s="35"/>
      <c r="I7" s="35"/>
      <c r="J7" s="35"/>
      <c r="K7" s="35"/>
      <c r="L7" s="35"/>
      <c r="M7" s="35"/>
      <c r="N7" s="35"/>
      <c r="O7" s="35"/>
      <c r="P7" s="35"/>
      <c r="Q7" s="36"/>
    </row>
    <row r="8" spans="2:17" ht="21" customHeight="1">
      <c r="B8" s="37" t="s">
        <v>19</v>
      </c>
      <c r="C8" s="38"/>
      <c r="D8" s="39" t="s">
        <v>20</v>
      </c>
      <c r="E8" s="40">
        <v>2007</v>
      </c>
      <c r="F8" s="41" t="s">
        <v>21</v>
      </c>
      <c r="G8" s="42">
        <v>2394</v>
      </c>
      <c r="H8" s="42">
        <f>1000*22916.998</f>
        <v>22916998</v>
      </c>
      <c r="I8" s="43">
        <f>1000000*G8/H8</f>
        <v>104.46394418675605</v>
      </c>
      <c r="J8" s="40"/>
      <c r="K8" s="40"/>
      <c r="L8" s="40"/>
      <c r="M8" s="40"/>
      <c r="N8" s="40"/>
      <c r="O8" s="40"/>
      <c r="P8" s="40"/>
      <c r="Q8" s="44"/>
    </row>
    <row r="9" spans="2:17" ht="21" customHeight="1">
      <c r="B9" s="45" t="s">
        <v>22</v>
      </c>
      <c r="C9" s="46"/>
      <c r="D9" s="39" t="s">
        <v>20</v>
      </c>
      <c r="E9" s="47">
        <v>2009</v>
      </c>
      <c r="F9" s="48" t="s">
        <v>21</v>
      </c>
      <c r="G9" s="49">
        <v>4562</v>
      </c>
      <c r="H9" s="42">
        <f>1000*72021.976</f>
        <v>72021976</v>
      </c>
      <c r="I9" s="43">
        <f>1000000*G9/H9</f>
        <v>63.34177779293365</v>
      </c>
      <c r="J9" s="47">
        <v>2</v>
      </c>
      <c r="K9" s="47">
        <v>4</v>
      </c>
      <c r="L9" s="47">
        <v>1</v>
      </c>
      <c r="M9" s="47">
        <v>5</v>
      </c>
      <c r="N9" s="47">
        <v>3</v>
      </c>
      <c r="O9" s="47"/>
      <c r="P9" s="47"/>
      <c r="Q9" s="50"/>
    </row>
    <row r="10" spans="2:17" ht="21" customHeight="1">
      <c r="B10" s="45" t="s">
        <v>23</v>
      </c>
      <c r="C10" s="46"/>
      <c r="D10" s="51" t="s">
        <v>20</v>
      </c>
      <c r="E10" s="47">
        <v>2009</v>
      </c>
      <c r="F10" s="52" t="s">
        <v>21</v>
      </c>
      <c r="G10" s="49">
        <v>37485</v>
      </c>
      <c r="H10" s="49">
        <f>1000*206235.316</f>
        <v>206235316</v>
      </c>
      <c r="I10" s="53">
        <f>1000000*G10/H10</f>
        <v>181.7583948619159</v>
      </c>
      <c r="J10" s="47"/>
      <c r="K10" s="47"/>
      <c r="L10" s="47"/>
      <c r="M10" s="47"/>
      <c r="N10" s="47"/>
      <c r="O10" s="47"/>
      <c r="P10" s="47"/>
      <c r="Q10" s="50"/>
    </row>
    <row r="11" spans="2:17" ht="21" customHeight="1" hidden="1">
      <c r="B11" s="54" t="s">
        <v>18</v>
      </c>
      <c r="C11" s="55"/>
      <c r="D11" s="56"/>
      <c r="E11" s="57"/>
      <c r="F11" s="58"/>
      <c r="G11" s="59"/>
      <c r="H11" s="60"/>
      <c r="I11" s="61"/>
      <c r="J11" s="62"/>
      <c r="K11" s="62"/>
      <c r="L11" s="62"/>
      <c r="M11" s="62"/>
      <c r="N11" s="62"/>
      <c r="O11" s="62"/>
      <c r="P11" s="62"/>
      <c r="Q11" s="63"/>
    </row>
    <row r="12" spans="2:17" ht="21" customHeight="1">
      <c r="B12" s="64" t="s">
        <v>24</v>
      </c>
      <c r="C12" s="65"/>
      <c r="D12" s="65"/>
      <c r="E12" s="65"/>
      <c r="F12" s="65"/>
      <c r="G12" s="65"/>
      <c r="H12" s="65"/>
      <c r="I12" s="65"/>
      <c r="J12" s="65"/>
      <c r="K12" s="65"/>
      <c r="L12" s="65"/>
      <c r="M12" s="65"/>
      <c r="N12" s="65"/>
      <c r="O12" s="65"/>
      <c r="P12" s="65"/>
      <c r="Q12" s="66"/>
    </row>
    <row r="13" spans="2:17" ht="21" customHeight="1">
      <c r="B13" s="37" t="s">
        <v>25</v>
      </c>
      <c r="C13" s="38"/>
      <c r="D13" s="39" t="s">
        <v>20</v>
      </c>
      <c r="E13" s="40">
        <v>2007</v>
      </c>
      <c r="F13" s="41" t="s">
        <v>21</v>
      </c>
      <c r="G13" s="42">
        <v>2</v>
      </c>
      <c r="H13" s="42">
        <f>1000*227.961</f>
        <v>227961</v>
      </c>
      <c r="I13" s="43">
        <f>1000000*G13/H13</f>
        <v>8.77343054294375</v>
      </c>
      <c r="J13" s="40"/>
      <c r="K13" s="40"/>
      <c r="L13" s="40"/>
      <c r="M13" s="40"/>
      <c r="N13" s="40"/>
      <c r="O13" s="40"/>
      <c r="P13" s="40"/>
      <c r="Q13" s="67">
        <v>0</v>
      </c>
    </row>
    <row r="14" spans="2:17" ht="21" customHeight="1">
      <c r="B14" s="68" t="s">
        <v>26</v>
      </c>
      <c r="C14" s="69"/>
      <c r="D14" s="39" t="s">
        <v>20</v>
      </c>
      <c r="E14" s="47">
        <v>2008</v>
      </c>
      <c r="F14" s="52" t="s">
        <v>27</v>
      </c>
      <c r="G14" s="49">
        <v>135</v>
      </c>
      <c r="H14" s="49"/>
      <c r="I14" s="53"/>
      <c r="J14" s="47">
        <v>2</v>
      </c>
      <c r="K14" s="47"/>
      <c r="L14" s="47">
        <v>1</v>
      </c>
      <c r="M14" s="47">
        <v>3</v>
      </c>
      <c r="N14" s="47"/>
      <c r="O14" s="47"/>
      <c r="P14" s="47"/>
      <c r="Q14" s="50"/>
    </row>
    <row r="15" spans="2:17" ht="21" customHeight="1">
      <c r="B15" s="70" t="s">
        <v>28</v>
      </c>
      <c r="C15" s="71"/>
      <c r="D15" s="72" t="s">
        <v>20</v>
      </c>
      <c r="E15" s="73">
        <v>2009</v>
      </c>
      <c r="F15" s="48" t="s">
        <v>21</v>
      </c>
      <c r="G15" s="74">
        <v>3</v>
      </c>
      <c r="H15" s="74">
        <f>1000*968.261</f>
        <v>968261</v>
      </c>
      <c r="I15" s="75">
        <f>1000000*G15/H15</f>
        <v>3.0983381546917617</v>
      </c>
      <c r="J15" s="73"/>
      <c r="K15" s="73"/>
      <c r="L15" s="73">
        <v>1</v>
      </c>
      <c r="M15" s="73"/>
      <c r="N15" s="73"/>
      <c r="O15" s="73"/>
      <c r="P15" s="73"/>
      <c r="Q15" s="76"/>
    </row>
    <row r="16" spans="2:17" ht="21" customHeight="1">
      <c r="B16" s="64" t="s">
        <v>29</v>
      </c>
      <c r="C16" s="65"/>
      <c r="D16" s="65"/>
      <c r="E16" s="65"/>
      <c r="F16" s="65"/>
      <c r="G16" s="65"/>
      <c r="H16" s="65"/>
      <c r="I16" s="65"/>
      <c r="J16" s="65"/>
      <c r="K16" s="65"/>
      <c r="L16" s="65"/>
      <c r="M16" s="65"/>
      <c r="N16" s="65"/>
      <c r="O16" s="65"/>
      <c r="P16" s="65"/>
      <c r="Q16" s="66"/>
    </row>
    <row r="17" spans="2:17" ht="21" customHeight="1">
      <c r="B17" s="77" t="s">
        <v>30</v>
      </c>
      <c r="C17" s="78"/>
      <c r="D17" s="79" t="s">
        <v>20</v>
      </c>
      <c r="E17" s="80">
        <v>2010</v>
      </c>
      <c r="F17" s="81" t="s">
        <v>21</v>
      </c>
      <c r="G17" s="82">
        <v>21</v>
      </c>
      <c r="H17" s="82">
        <f>1000*3194.595</f>
        <v>3194595</v>
      </c>
      <c r="I17" s="83">
        <f>1000000*G17/H17</f>
        <v>6.573603226700098</v>
      </c>
      <c r="J17" s="80"/>
      <c r="K17" s="80"/>
      <c r="L17" s="80"/>
      <c r="M17" s="80"/>
      <c r="N17" s="80"/>
      <c r="O17" s="80"/>
      <c r="P17" s="80"/>
      <c r="Q17" s="84">
        <v>0.57</v>
      </c>
    </row>
    <row r="18" spans="2:17" ht="21" customHeight="1">
      <c r="B18" s="85" t="s">
        <v>31</v>
      </c>
      <c r="C18" s="86"/>
      <c r="D18" s="87" t="s">
        <v>32</v>
      </c>
      <c r="E18" s="88">
        <v>2005</v>
      </c>
      <c r="F18" s="81" t="s">
        <v>21</v>
      </c>
      <c r="G18" s="89">
        <v>568</v>
      </c>
      <c r="H18" s="89">
        <f>1000*3515.003</f>
        <v>3515003</v>
      </c>
      <c r="I18" s="90">
        <f>1000000*G18/H18</f>
        <v>161.59303420224677</v>
      </c>
      <c r="J18" s="88">
        <v>2</v>
      </c>
      <c r="K18" s="88"/>
      <c r="L18" s="88">
        <v>1</v>
      </c>
      <c r="M18" s="88"/>
      <c r="N18" s="88">
        <v>3</v>
      </c>
      <c r="O18" s="88"/>
      <c r="P18" s="88"/>
      <c r="Q18" s="91"/>
    </row>
    <row r="19" spans="2:17" ht="21" customHeight="1">
      <c r="B19" s="92" t="s">
        <v>33</v>
      </c>
      <c r="C19" s="87"/>
      <c r="D19" s="87" t="s">
        <v>34</v>
      </c>
      <c r="E19" s="88">
        <v>2006</v>
      </c>
      <c r="F19" s="93" t="s">
        <v>21</v>
      </c>
      <c r="G19" s="89">
        <v>1</v>
      </c>
      <c r="H19" s="89">
        <f>1000*3226.278</f>
        <v>3226278</v>
      </c>
      <c r="I19" s="90">
        <f>1000000*G19/H19</f>
        <v>0.30995469082329546</v>
      </c>
      <c r="J19" s="88"/>
      <c r="K19" s="88"/>
      <c r="L19" s="88"/>
      <c r="M19" s="88"/>
      <c r="N19" s="88"/>
      <c r="O19" s="88">
        <v>1</v>
      </c>
      <c r="P19" s="88"/>
      <c r="Q19" s="91"/>
    </row>
    <row r="20" spans="2:17" ht="21" customHeight="1">
      <c r="B20" s="94" t="s">
        <v>35</v>
      </c>
      <c r="C20" s="95"/>
      <c r="D20" s="96" t="s">
        <v>32</v>
      </c>
      <c r="E20" s="97">
        <v>2005</v>
      </c>
      <c r="F20" s="81" t="s">
        <v>21</v>
      </c>
      <c r="G20" s="98">
        <v>11</v>
      </c>
      <c r="H20" s="98">
        <f>1000*2063.892</f>
        <v>2063891.9999999998</v>
      </c>
      <c r="I20" s="99">
        <f>1000000*G20/H20</f>
        <v>5.329736245888836</v>
      </c>
      <c r="J20" s="97"/>
      <c r="K20" s="97"/>
      <c r="L20" s="97"/>
      <c r="M20" s="97"/>
      <c r="N20" s="97"/>
      <c r="O20" s="97"/>
      <c r="P20" s="97"/>
      <c r="Q20" s="100"/>
    </row>
    <row r="21" spans="2:17" ht="21" customHeight="1">
      <c r="B21" s="101" t="s">
        <v>36</v>
      </c>
      <c r="C21" s="102"/>
      <c r="D21" s="102"/>
      <c r="E21" s="102"/>
      <c r="F21" s="102"/>
      <c r="G21" s="102"/>
      <c r="H21" s="102"/>
      <c r="I21" s="102"/>
      <c r="J21" s="102"/>
      <c r="K21" s="102"/>
      <c r="L21" s="102"/>
      <c r="M21" s="102"/>
      <c r="N21" s="102"/>
      <c r="O21" s="102"/>
      <c r="P21" s="102"/>
      <c r="Q21" s="103"/>
    </row>
    <row r="22" spans="2:17" ht="21" customHeight="1">
      <c r="B22" s="77" t="s">
        <v>37</v>
      </c>
      <c r="C22" s="78"/>
      <c r="D22" s="79" t="s">
        <v>38</v>
      </c>
      <c r="E22" s="80">
        <v>2004</v>
      </c>
      <c r="F22" s="93" t="s">
        <v>21</v>
      </c>
      <c r="G22" s="82">
        <v>320</v>
      </c>
      <c r="H22" s="82">
        <f>1000*24244.66</f>
        <v>24244660</v>
      </c>
      <c r="I22" s="83">
        <f>1000000*G22/H22</f>
        <v>13.198782742261596</v>
      </c>
      <c r="J22" s="80">
        <v>1</v>
      </c>
      <c r="K22" s="80">
        <v>5</v>
      </c>
      <c r="L22" s="80">
        <v>2</v>
      </c>
      <c r="M22" s="80">
        <v>4</v>
      </c>
      <c r="N22" s="80">
        <v>3</v>
      </c>
      <c r="O22" s="80"/>
      <c r="P22" s="80"/>
      <c r="Q22" s="104"/>
    </row>
    <row r="23" spans="2:17" ht="21" customHeight="1">
      <c r="B23" s="85" t="s">
        <v>39</v>
      </c>
      <c r="C23" s="86"/>
      <c r="D23" s="79" t="s">
        <v>20</v>
      </c>
      <c r="E23" s="88">
        <v>2007</v>
      </c>
      <c r="F23" s="93" t="s">
        <v>21</v>
      </c>
      <c r="G23" s="89">
        <v>158</v>
      </c>
      <c r="H23" s="89">
        <f>1000*126659.255</f>
        <v>126659255</v>
      </c>
      <c r="I23" s="90">
        <f>1000000*G23/H23</f>
        <v>1.2474414127889826</v>
      </c>
      <c r="J23" s="88">
        <v>2</v>
      </c>
      <c r="K23" s="88">
        <v>5</v>
      </c>
      <c r="L23" s="88">
        <v>1</v>
      </c>
      <c r="M23" s="88">
        <v>6</v>
      </c>
      <c r="N23" s="88">
        <v>4</v>
      </c>
      <c r="O23" s="88"/>
      <c r="P23" s="88">
        <v>3</v>
      </c>
      <c r="Q23" s="91"/>
    </row>
    <row r="24" spans="2:17" ht="21" customHeight="1">
      <c r="B24" s="85" t="s">
        <v>40</v>
      </c>
      <c r="C24" s="86"/>
      <c r="D24" s="79" t="s">
        <v>20</v>
      </c>
      <c r="E24" s="88">
        <v>2004</v>
      </c>
      <c r="F24" s="93" t="s">
        <v>27</v>
      </c>
      <c r="G24" s="89">
        <v>14</v>
      </c>
      <c r="H24" s="89"/>
      <c r="I24" s="90"/>
      <c r="J24" s="88"/>
      <c r="K24" s="88"/>
      <c r="L24" s="88"/>
      <c r="M24" s="88"/>
      <c r="N24" s="88"/>
      <c r="O24" s="88"/>
      <c r="P24" s="88"/>
      <c r="Q24" s="105">
        <v>1</v>
      </c>
    </row>
    <row r="25" spans="2:17" ht="21" customHeight="1">
      <c r="B25" s="106" t="s">
        <v>41</v>
      </c>
      <c r="C25" s="107"/>
      <c r="D25" s="79" t="s">
        <v>20</v>
      </c>
      <c r="E25" s="97">
        <v>2010</v>
      </c>
      <c r="F25" s="93" t="s">
        <v>27</v>
      </c>
      <c r="G25" s="98">
        <v>197</v>
      </c>
      <c r="H25" s="98">
        <v>3562634.4</v>
      </c>
      <c r="I25" s="99">
        <f>1000000*G25/H25</f>
        <v>55.296159493660085</v>
      </c>
      <c r="J25" s="97">
        <v>2</v>
      </c>
      <c r="K25" s="97">
        <v>4</v>
      </c>
      <c r="L25" s="97">
        <v>1</v>
      </c>
      <c r="M25" s="97">
        <v>5</v>
      </c>
      <c r="N25" s="97">
        <v>3</v>
      </c>
      <c r="O25" s="97"/>
      <c r="P25" s="97"/>
      <c r="Q25" s="108">
        <f>77/197</f>
        <v>0.39086294416243655</v>
      </c>
    </row>
    <row r="26" spans="2:17" ht="21" customHeight="1" hidden="1">
      <c r="B26" s="109" t="s">
        <v>42</v>
      </c>
      <c r="C26" s="110"/>
      <c r="D26" s="110"/>
      <c r="E26" s="111"/>
      <c r="F26" s="112"/>
      <c r="G26" s="113"/>
      <c r="H26" s="114"/>
      <c r="I26" s="115"/>
      <c r="J26" s="116"/>
      <c r="K26" s="116"/>
      <c r="L26" s="116"/>
      <c r="M26" s="116"/>
      <c r="N26" s="116"/>
      <c r="O26" s="116"/>
      <c r="P26" s="116"/>
      <c r="Q26" s="117"/>
    </row>
    <row r="27" spans="2:17" ht="21" customHeight="1">
      <c r="B27" s="118"/>
      <c r="C27" s="119"/>
      <c r="D27" s="119"/>
      <c r="E27" s="119"/>
      <c r="F27" s="119"/>
      <c r="G27" s="119"/>
      <c r="H27" s="119"/>
      <c r="I27" s="119"/>
      <c r="J27" s="119"/>
      <c r="K27" s="119"/>
      <c r="L27" s="119"/>
      <c r="M27" s="119"/>
      <c r="N27" s="119"/>
      <c r="O27" s="119"/>
      <c r="P27" s="119"/>
      <c r="Q27" s="120"/>
    </row>
    <row r="28" spans="2:17" ht="30" customHeight="1">
      <c r="B28" s="121" t="s">
        <v>43</v>
      </c>
      <c r="C28" s="122"/>
      <c r="D28" s="122"/>
      <c r="E28" s="122"/>
      <c r="F28" s="122"/>
      <c r="G28" s="122"/>
      <c r="H28" s="122"/>
      <c r="I28" s="122"/>
      <c r="J28" s="122"/>
      <c r="K28" s="122"/>
      <c r="L28" s="122"/>
      <c r="M28" s="122"/>
      <c r="N28" s="122"/>
      <c r="O28" s="122"/>
      <c r="P28" s="122"/>
      <c r="Q28" s="123"/>
    </row>
    <row r="29" spans="2:17" ht="21" customHeight="1">
      <c r="B29" s="124" t="s">
        <v>44</v>
      </c>
      <c r="C29" s="125"/>
      <c r="D29" s="125"/>
      <c r="E29" s="125"/>
      <c r="F29" s="125"/>
      <c r="G29" s="125"/>
      <c r="H29" s="125"/>
      <c r="I29" s="125"/>
      <c r="J29" s="125"/>
      <c r="K29" s="125"/>
      <c r="L29" s="125"/>
      <c r="M29" s="125"/>
      <c r="N29" s="125"/>
      <c r="O29" s="125"/>
      <c r="P29" s="125"/>
      <c r="Q29" s="126"/>
    </row>
    <row r="30" spans="2:17" ht="21" customHeight="1">
      <c r="B30" s="127" t="s">
        <v>45</v>
      </c>
      <c r="C30" s="128"/>
      <c r="D30" s="129" t="s">
        <v>20</v>
      </c>
      <c r="E30" s="130">
        <v>2007</v>
      </c>
      <c r="F30" s="131" t="s">
        <v>21</v>
      </c>
      <c r="G30" s="132">
        <v>5</v>
      </c>
      <c r="H30" s="132">
        <v>56111</v>
      </c>
      <c r="I30" s="133">
        <f>1000000*G30/H30</f>
        <v>89.10908734472741</v>
      </c>
      <c r="J30" s="130"/>
      <c r="K30" s="130">
        <v>1</v>
      </c>
      <c r="L30" s="130"/>
      <c r="M30" s="130"/>
      <c r="N30" s="130"/>
      <c r="O30" s="130"/>
      <c r="P30" s="130"/>
      <c r="Q30" s="134">
        <v>0.8</v>
      </c>
    </row>
    <row r="31" spans="2:17" ht="21" customHeight="1">
      <c r="B31" s="135" t="s">
        <v>46</v>
      </c>
      <c r="C31" s="136"/>
      <c r="D31" s="136"/>
      <c r="E31" s="136"/>
      <c r="F31" s="136"/>
      <c r="G31" s="136"/>
      <c r="H31" s="136"/>
      <c r="I31" s="136"/>
      <c r="J31" s="136"/>
      <c r="K31" s="136"/>
      <c r="L31" s="136"/>
      <c r="M31" s="136"/>
      <c r="N31" s="136"/>
      <c r="O31" s="136"/>
      <c r="P31" s="136"/>
      <c r="Q31" s="137"/>
    </row>
    <row r="32" spans="2:17" ht="21" customHeight="1">
      <c r="B32" s="138" t="s">
        <v>47</v>
      </c>
      <c r="C32" s="139"/>
      <c r="D32" s="140" t="s">
        <v>20</v>
      </c>
      <c r="E32" s="97">
        <v>2009</v>
      </c>
      <c r="F32" s="81"/>
      <c r="G32" s="98"/>
      <c r="H32" s="98"/>
      <c r="I32" s="141"/>
      <c r="J32" s="97"/>
      <c r="K32" s="97">
        <v>1</v>
      </c>
      <c r="L32" s="97"/>
      <c r="M32" s="97">
        <v>2</v>
      </c>
      <c r="N32" s="97"/>
      <c r="O32" s="97"/>
      <c r="P32" s="97"/>
      <c r="Q32" s="142"/>
    </row>
    <row r="33" spans="2:17" ht="21" customHeight="1">
      <c r="B33" s="143"/>
      <c r="C33" s="144"/>
      <c r="D33" s="144"/>
      <c r="E33" s="144"/>
      <c r="F33" s="144"/>
      <c r="G33" s="144"/>
      <c r="H33" s="144"/>
      <c r="I33" s="144"/>
      <c r="J33" s="144"/>
      <c r="K33" s="144"/>
      <c r="L33" s="144"/>
      <c r="M33" s="144"/>
      <c r="N33" s="144"/>
      <c r="O33" s="144"/>
      <c r="P33" s="144"/>
      <c r="Q33" s="145"/>
    </row>
    <row r="34" spans="2:17" ht="30" customHeight="1">
      <c r="B34" s="146" t="s">
        <v>48</v>
      </c>
      <c r="C34" s="147"/>
      <c r="D34" s="147"/>
      <c r="E34" s="147"/>
      <c r="F34" s="147"/>
      <c r="G34" s="147"/>
      <c r="H34" s="147"/>
      <c r="I34" s="147"/>
      <c r="J34" s="147"/>
      <c r="K34" s="147"/>
      <c r="L34" s="147"/>
      <c r="M34" s="147"/>
      <c r="N34" s="147"/>
      <c r="O34" s="147"/>
      <c r="P34" s="147"/>
      <c r="Q34" s="148"/>
    </row>
    <row r="35" spans="2:17" ht="21" customHeight="1">
      <c r="B35" s="149" t="s">
        <v>49</v>
      </c>
      <c r="C35" s="150"/>
      <c r="D35" s="150"/>
      <c r="E35" s="150"/>
      <c r="F35" s="150"/>
      <c r="G35" s="150"/>
      <c r="H35" s="150"/>
      <c r="I35" s="150"/>
      <c r="J35" s="150"/>
      <c r="K35" s="150"/>
      <c r="L35" s="150"/>
      <c r="M35" s="150"/>
      <c r="N35" s="150"/>
      <c r="O35" s="150"/>
      <c r="P35" s="150"/>
      <c r="Q35" s="151"/>
    </row>
    <row r="36" spans="2:17" ht="21" customHeight="1">
      <c r="B36" s="152" t="s">
        <v>50</v>
      </c>
      <c r="C36" s="153"/>
      <c r="D36" s="140" t="s">
        <v>20</v>
      </c>
      <c r="E36" s="88">
        <v>2008</v>
      </c>
      <c r="F36" s="93" t="s">
        <v>21</v>
      </c>
      <c r="G36" s="89">
        <v>155</v>
      </c>
      <c r="H36" s="89">
        <f>1000*5193.869</f>
        <v>5193869</v>
      </c>
      <c r="I36" s="90">
        <f>1000000*G36/H36</f>
        <v>29.842878208903613</v>
      </c>
      <c r="J36" s="88"/>
      <c r="K36" s="88">
        <v>1</v>
      </c>
      <c r="L36" s="88"/>
      <c r="M36" s="88"/>
      <c r="N36" s="88"/>
      <c r="O36" s="88"/>
      <c r="P36" s="88"/>
      <c r="Q36" s="91"/>
    </row>
    <row r="37" spans="2:17" ht="21" customHeight="1">
      <c r="B37" s="154" t="s">
        <v>51</v>
      </c>
      <c r="C37" s="155"/>
      <c r="D37" s="140" t="s">
        <v>20</v>
      </c>
      <c r="E37" s="97">
        <v>2010</v>
      </c>
      <c r="F37" s="81" t="s">
        <v>27</v>
      </c>
      <c r="G37" s="98">
        <v>447</v>
      </c>
      <c r="H37" s="98"/>
      <c r="I37" s="99"/>
      <c r="J37" s="97"/>
      <c r="K37" s="97">
        <v>1</v>
      </c>
      <c r="L37" s="97"/>
      <c r="M37" s="97"/>
      <c r="N37" s="97"/>
      <c r="O37" s="97"/>
      <c r="P37" s="97"/>
      <c r="Q37" s="142">
        <f>47/447</f>
        <v>0.10514541387024609</v>
      </c>
    </row>
    <row r="38" spans="2:17" ht="21" customHeight="1">
      <c r="B38" s="138" t="s">
        <v>52</v>
      </c>
      <c r="C38" s="139"/>
      <c r="D38" s="140" t="s">
        <v>20</v>
      </c>
      <c r="E38" s="88">
        <v>2009</v>
      </c>
      <c r="F38" s="93"/>
      <c r="G38" s="89"/>
      <c r="H38" s="89"/>
      <c r="I38" s="90"/>
      <c r="J38" s="88"/>
      <c r="K38" s="88"/>
      <c r="L38" s="88"/>
      <c r="M38" s="88">
        <v>1</v>
      </c>
      <c r="N38" s="88"/>
      <c r="O38" s="88"/>
      <c r="P38" s="88"/>
      <c r="Q38" s="91"/>
    </row>
    <row r="39" spans="2:17" ht="21" customHeight="1">
      <c r="B39" s="156" t="s">
        <v>53</v>
      </c>
      <c r="C39" s="157"/>
      <c r="D39" s="140" t="s">
        <v>20</v>
      </c>
      <c r="E39" s="88">
        <v>2010</v>
      </c>
      <c r="F39" s="93" t="s">
        <v>21</v>
      </c>
      <c r="G39" s="89">
        <v>432</v>
      </c>
      <c r="H39" s="89">
        <f>1000*18430.511</f>
        <v>18430511</v>
      </c>
      <c r="I39" s="90">
        <f>1000000*G39/H39</f>
        <v>23.43939351437407</v>
      </c>
      <c r="J39" s="88"/>
      <c r="K39" s="88"/>
      <c r="L39" s="88"/>
      <c r="M39" s="88"/>
      <c r="N39" s="88"/>
      <c r="O39" s="88"/>
      <c r="P39" s="88"/>
      <c r="Q39" s="91"/>
    </row>
    <row r="40" spans="2:17" ht="21" customHeight="1">
      <c r="B40" s="158" t="s">
        <v>54</v>
      </c>
      <c r="C40" s="159"/>
      <c r="D40" s="140" t="s">
        <v>20</v>
      </c>
      <c r="E40" s="80">
        <v>2009</v>
      </c>
      <c r="F40" s="160"/>
      <c r="G40" s="82"/>
      <c r="H40" s="82"/>
      <c r="I40" s="83"/>
      <c r="J40" s="80"/>
      <c r="K40" s="80">
        <v>1</v>
      </c>
      <c r="L40" s="80"/>
      <c r="M40" s="80"/>
      <c r="N40" s="80"/>
      <c r="O40" s="80"/>
      <c r="P40" s="80"/>
      <c r="Q40" s="104"/>
    </row>
    <row r="41" spans="2:17" ht="21" customHeight="1">
      <c r="B41" s="161" t="s">
        <v>55</v>
      </c>
      <c r="C41" s="162"/>
      <c r="D41" s="163" t="s">
        <v>20</v>
      </c>
      <c r="E41" s="97">
        <v>2009</v>
      </c>
      <c r="F41" s="81" t="s">
        <v>21</v>
      </c>
      <c r="G41" s="98">
        <v>2184</v>
      </c>
      <c r="H41" s="98">
        <f>1000*60720.962</f>
        <v>60720962</v>
      </c>
      <c r="I41" s="99">
        <f>1000000*G41/H41</f>
        <v>35.967809600908495</v>
      </c>
      <c r="J41" s="97"/>
      <c r="K41" s="97">
        <v>1</v>
      </c>
      <c r="L41" s="97"/>
      <c r="M41" s="97"/>
      <c r="N41" s="97"/>
      <c r="O41" s="97"/>
      <c r="P41" s="97"/>
      <c r="Q41" s="100"/>
    </row>
    <row r="42" spans="2:17" ht="21" customHeight="1">
      <c r="B42" s="164" t="s">
        <v>56</v>
      </c>
      <c r="C42" s="165"/>
      <c r="D42" s="165"/>
      <c r="E42" s="165"/>
      <c r="F42" s="165"/>
      <c r="G42" s="165"/>
      <c r="H42" s="165"/>
      <c r="I42" s="165"/>
      <c r="J42" s="165"/>
      <c r="K42" s="165"/>
      <c r="L42" s="165"/>
      <c r="M42" s="165"/>
      <c r="N42" s="165"/>
      <c r="O42" s="165"/>
      <c r="P42" s="165"/>
      <c r="Q42" s="166"/>
    </row>
    <row r="43" spans="2:17" ht="21" customHeight="1">
      <c r="B43" s="167" t="s">
        <v>57</v>
      </c>
      <c r="C43" s="168"/>
      <c r="D43" s="140" t="s">
        <v>20</v>
      </c>
      <c r="E43" s="80">
        <v>2009</v>
      </c>
      <c r="F43" s="160" t="s">
        <v>27</v>
      </c>
      <c r="G43" s="82">
        <v>16</v>
      </c>
      <c r="H43" s="82">
        <v>1857939</v>
      </c>
      <c r="I43" s="90">
        <f>1000000*G43/H43</f>
        <v>8.611692848904081</v>
      </c>
      <c r="J43" s="80"/>
      <c r="K43" s="80">
        <v>1</v>
      </c>
      <c r="L43" s="80"/>
      <c r="M43" s="80"/>
      <c r="N43" s="80"/>
      <c r="O43" s="80"/>
      <c r="P43" s="80"/>
      <c r="Q43" s="84">
        <v>1</v>
      </c>
    </row>
    <row r="44" spans="2:17" ht="21" customHeight="1">
      <c r="B44" s="169" t="s">
        <v>58</v>
      </c>
      <c r="C44" s="170"/>
      <c r="D44" s="140" t="s">
        <v>20</v>
      </c>
      <c r="E44" s="88">
        <v>2009</v>
      </c>
      <c r="F44" s="93" t="s">
        <v>21</v>
      </c>
      <c r="G44" s="89">
        <v>25</v>
      </c>
      <c r="H44" s="89">
        <f>1000*902.738</f>
        <v>902738</v>
      </c>
      <c r="I44" s="90">
        <f>1000000*G44/H44</f>
        <v>27.693527911752913</v>
      </c>
      <c r="J44" s="88"/>
      <c r="K44" s="88">
        <v>1</v>
      </c>
      <c r="L44" s="88"/>
      <c r="M44" s="88"/>
      <c r="N44" s="88"/>
      <c r="O44" s="88"/>
      <c r="P44" s="88"/>
      <c r="Q44" s="105">
        <v>1</v>
      </c>
    </row>
    <row r="45" spans="2:17" ht="21" customHeight="1">
      <c r="B45" s="169" t="s">
        <v>59</v>
      </c>
      <c r="C45" s="170"/>
      <c r="D45" s="140" t="s">
        <v>20</v>
      </c>
      <c r="E45" s="88">
        <v>2010</v>
      </c>
      <c r="F45" s="93" t="s">
        <v>21</v>
      </c>
      <c r="G45" s="89">
        <v>3673</v>
      </c>
      <c r="H45" s="89">
        <f>1000*53132.124</f>
        <v>53132124</v>
      </c>
      <c r="I45" s="90">
        <f>1000000*G45/H45</f>
        <v>69.12955333763807</v>
      </c>
      <c r="J45" s="88"/>
      <c r="K45" s="88">
        <v>1</v>
      </c>
      <c r="L45" s="88"/>
      <c r="M45" s="88">
        <v>2</v>
      </c>
      <c r="N45" s="88"/>
      <c r="O45" s="88"/>
      <c r="P45" s="88"/>
      <c r="Q45" s="91"/>
    </row>
    <row r="46" spans="2:17" ht="21" customHeight="1">
      <c r="B46" s="138" t="s">
        <v>60</v>
      </c>
      <c r="C46" s="139"/>
      <c r="D46" s="140" t="s">
        <v>20</v>
      </c>
      <c r="E46" s="88">
        <v>2009</v>
      </c>
      <c r="F46" s="93"/>
      <c r="G46" s="89"/>
      <c r="H46" s="89"/>
      <c r="I46" s="90"/>
      <c r="J46" s="88"/>
      <c r="K46" s="88">
        <v>1</v>
      </c>
      <c r="L46" s="88"/>
      <c r="M46" s="88">
        <v>2</v>
      </c>
      <c r="N46" s="88"/>
      <c r="O46" s="88"/>
      <c r="P46" s="88"/>
      <c r="Q46" s="91"/>
    </row>
    <row r="47" spans="2:17" ht="21" customHeight="1">
      <c r="B47" s="169" t="s">
        <v>61</v>
      </c>
      <c r="C47" s="170"/>
      <c r="D47" s="140" t="s">
        <v>20</v>
      </c>
      <c r="E47" s="88">
        <v>2003</v>
      </c>
      <c r="F47" s="93" t="s">
        <v>21</v>
      </c>
      <c r="G47" s="89">
        <v>52</v>
      </c>
      <c r="H47" s="89">
        <f>1000*2981.062</f>
        <v>2981062</v>
      </c>
      <c r="I47" s="90">
        <f>1000000*G47/H47</f>
        <v>17.443448006113258</v>
      </c>
      <c r="J47" s="88"/>
      <c r="K47" s="88">
        <v>1</v>
      </c>
      <c r="L47" s="88"/>
      <c r="M47" s="88"/>
      <c r="N47" s="88"/>
      <c r="O47" s="88"/>
      <c r="P47" s="88"/>
      <c r="Q47" s="91"/>
    </row>
    <row r="48" spans="2:17" ht="21" customHeight="1">
      <c r="B48" s="169" t="s">
        <v>62</v>
      </c>
      <c r="C48" s="170"/>
      <c r="D48" s="140" t="s">
        <v>20</v>
      </c>
      <c r="E48" s="88">
        <v>2009</v>
      </c>
      <c r="F48" s="93" t="s">
        <v>21</v>
      </c>
      <c r="G48" s="89">
        <v>44</v>
      </c>
      <c r="H48" s="89">
        <f>1000*1885.131</f>
        <v>1885131</v>
      </c>
      <c r="I48" s="90">
        <f>1000000*G48/H48</f>
        <v>23.340552990747064</v>
      </c>
      <c r="J48" s="88"/>
      <c r="K48" s="88"/>
      <c r="L48" s="88"/>
      <c r="M48" s="88"/>
      <c r="N48" s="88"/>
      <c r="O48" s="88"/>
      <c r="P48" s="88"/>
      <c r="Q48" s="105">
        <v>1</v>
      </c>
    </row>
    <row r="49" spans="2:17" ht="21" customHeight="1">
      <c r="B49" s="169" t="s">
        <v>63</v>
      </c>
      <c r="C49" s="170"/>
      <c r="D49" s="140" t="s">
        <v>20</v>
      </c>
      <c r="E49" s="88">
        <v>2002</v>
      </c>
      <c r="F49" s="93" t="s">
        <v>21</v>
      </c>
      <c r="G49" s="89">
        <v>5</v>
      </c>
      <c r="H49" s="89">
        <f>1000*1438.888</f>
        <v>1438888</v>
      </c>
      <c r="I49" s="90">
        <f>1000000*G49/H49</f>
        <v>3.4749056215633183</v>
      </c>
      <c r="J49" s="88"/>
      <c r="K49" s="88">
        <v>1</v>
      </c>
      <c r="L49" s="88"/>
      <c r="M49" s="88"/>
      <c r="N49" s="88"/>
      <c r="O49" s="88"/>
      <c r="P49" s="88"/>
      <c r="Q49" s="91"/>
    </row>
    <row r="50" spans="2:17" ht="21" customHeight="1">
      <c r="B50" s="138" t="s">
        <v>64</v>
      </c>
      <c r="C50" s="139"/>
      <c r="D50" s="140" t="s">
        <v>20</v>
      </c>
      <c r="E50" s="88">
        <v>2009</v>
      </c>
      <c r="F50" s="93"/>
      <c r="G50" s="89"/>
      <c r="H50" s="89"/>
      <c r="I50" s="90"/>
      <c r="J50" s="88"/>
      <c r="K50" s="88">
        <v>1</v>
      </c>
      <c r="L50" s="88"/>
      <c r="M50" s="88">
        <v>2</v>
      </c>
      <c r="N50" s="88"/>
      <c r="O50" s="88"/>
      <c r="P50" s="88"/>
      <c r="Q50" s="91"/>
    </row>
    <row r="51" spans="2:17" ht="21" customHeight="1">
      <c r="B51" s="138" t="s">
        <v>65</v>
      </c>
      <c r="C51" s="139"/>
      <c r="D51" s="140" t="s">
        <v>20</v>
      </c>
      <c r="E51" s="88">
        <v>2010</v>
      </c>
      <c r="F51" s="81" t="s">
        <v>21</v>
      </c>
      <c r="G51" s="89">
        <v>1</v>
      </c>
      <c r="H51" s="89">
        <f>1000*1503.394</f>
        <v>1503394</v>
      </c>
      <c r="I51" s="90">
        <f>1000000*G51/H51</f>
        <v>0.6651616276238963</v>
      </c>
      <c r="J51" s="88"/>
      <c r="K51" s="88">
        <v>1</v>
      </c>
      <c r="L51" s="88"/>
      <c r="M51" s="88"/>
      <c r="N51" s="88"/>
      <c r="O51" s="88"/>
      <c r="P51" s="88"/>
      <c r="Q51" s="91"/>
    </row>
    <row r="52" spans="2:17" ht="21" customHeight="1">
      <c r="B52" s="154" t="s">
        <v>66</v>
      </c>
      <c r="C52" s="171"/>
      <c r="D52" s="140" t="s">
        <v>20</v>
      </c>
      <c r="E52" s="97">
        <v>2010</v>
      </c>
      <c r="F52" s="81" t="s">
        <v>21</v>
      </c>
      <c r="G52" s="98">
        <v>19</v>
      </c>
      <c r="H52" s="98">
        <f>1000*12073.444</f>
        <v>12073444</v>
      </c>
      <c r="I52" s="90">
        <f>1000000*G52/H52</f>
        <v>1.5737017540314098</v>
      </c>
      <c r="J52" s="97"/>
      <c r="K52" s="97"/>
      <c r="L52" s="97"/>
      <c r="M52" s="97"/>
      <c r="N52" s="97"/>
      <c r="O52" s="88"/>
      <c r="P52" s="97"/>
      <c r="Q52" s="100"/>
    </row>
    <row r="53" spans="2:17" ht="21" customHeight="1">
      <c r="B53" s="161" t="s">
        <v>67</v>
      </c>
      <c r="C53" s="162"/>
      <c r="D53" s="163" t="s">
        <v>20</v>
      </c>
      <c r="E53" s="97">
        <v>2009</v>
      </c>
      <c r="F53" s="81" t="s">
        <v>21</v>
      </c>
      <c r="G53" s="98">
        <v>17</v>
      </c>
      <c r="H53" s="98">
        <f>1000*5692.599</f>
        <v>5692599</v>
      </c>
      <c r="I53" s="99">
        <f>1000000*G53/H53</f>
        <v>2.986333658843702</v>
      </c>
      <c r="J53" s="97"/>
      <c r="K53" s="97">
        <v>1</v>
      </c>
      <c r="L53" s="97"/>
      <c r="M53" s="97"/>
      <c r="N53" s="97"/>
      <c r="O53" s="97"/>
      <c r="P53" s="97"/>
      <c r="Q53" s="142"/>
    </row>
    <row r="54" spans="2:17" ht="21" customHeight="1">
      <c r="B54" s="164" t="s">
        <v>68</v>
      </c>
      <c r="C54" s="165"/>
      <c r="D54" s="165"/>
      <c r="E54" s="165"/>
      <c r="F54" s="165"/>
      <c r="G54" s="165"/>
      <c r="H54" s="165"/>
      <c r="I54" s="165"/>
      <c r="J54" s="165"/>
      <c r="K54" s="165"/>
      <c r="L54" s="165"/>
      <c r="M54" s="165"/>
      <c r="N54" s="165"/>
      <c r="O54" s="165"/>
      <c r="P54" s="165"/>
      <c r="Q54" s="166"/>
    </row>
    <row r="55" spans="2:17" ht="21" customHeight="1">
      <c r="B55" s="167" t="s">
        <v>69</v>
      </c>
      <c r="C55" s="168"/>
      <c r="D55" s="140" t="s">
        <v>20</v>
      </c>
      <c r="E55" s="80">
        <v>2007</v>
      </c>
      <c r="F55" s="160" t="s">
        <v>21</v>
      </c>
      <c r="G55" s="82">
        <v>41</v>
      </c>
      <c r="H55" s="82">
        <f>1000*6200.302</f>
        <v>6200302</v>
      </c>
      <c r="I55" s="83">
        <f>1000000*G55/H55</f>
        <v>6.612581129112743</v>
      </c>
      <c r="J55" s="80"/>
      <c r="K55" s="80">
        <v>2</v>
      </c>
      <c r="L55" s="80"/>
      <c r="M55" s="80"/>
      <c r="N55" s="80">
        <v>1</v>
      </c>
      <c r="O55" s="80"/>
      <c r="P55" s="80"/>
      <c r="Q55" s="84"/>
    </row>
    <row r="56" spans="2:17" ht="21" customHeight="1">
      <c r="B56" s="138" t="s">
        <v>70</v>
      </c>
      <c r="C56" s="139"/>
      <c r="D56" s="140" t="s">
        <v>20</v>
      </c>
      <c r="E56" s="80">
        <v>2008</v>
      </c>
      <c r="F56" s="160"/>
      <c r="G56" s="82"/>
      <c r="H56" s="82"/>
      <c r="I56" s="83"/>
      <c r="J56" s="80"/>
      <c r="K56" s="80">
        <v>1</v>
      </c>
      <c r="L56" s="80"/>
      <c r="M56" s="80">
        <v>2</v>
      </c>
      <c r="N56" s="80"/>
      <c r="O56" s="80"/>
      <c r="P56" s="80"/>
      <c r="Q56" s="84"/>
    </row>
    <row r="57" spans="2:17" ht="21" customHeight="1">
      <c r="B57" s="85" t="s">
        <v>71</v>
      </c>
      <c r="C57" s="86"/>
      <c r="D57" s="140" t="s">
        <v>20</v>
      </c>
      <c r="E57" s="88">
        <v>2008</v>
      </c>
      <c r="F57" s="93" t="s">
        <v>21</v>
      </c>
      <c r="G57" s="89">
        <v>1244</v>
      </c>
      <c r="H57" s="89">
        <f>1000*10738.912</f>
        <v>10738912</v>
      </c>
      <c r="I57" s="90">
        <f>1000000*G57/H57</f>
        <v>115.84041288353978</v>
      </c>
      <c r="J57" s="88"/>
      <c r="K57" s="88">
        <v>1</v>
      </c>
      <c r="L57" s="88"/>
      <c r="M57" s="88"/>
      <c r="N57" s="88"/>
      <c r="O57" s="88"/>
      <c r="P57" s="88"/>
      <c r="Q57" s="105">
        <f>127/1244</f>
        <v>0.10209003215434084</v>
      </c>
    </row>
    <row r="58" spans="2:17" ht="21" customHeight="1">
      <c r="B58" s="92" t="s">
        <v>72</v>
      </c>
      <c r="C58" s="87"/>
      <c r="D58" s="140" t="s">
        <v>20</v>
      </c>
      <c r="E58" s="88">
        <v>2010</v>
      </c>
      <c r="F58" s="93" t="s">
        <v>21</v>
      </c>
      <c r="G58" s="89">
        <v>127</v>
      </c>
      <c r="H58" s="89">
        <f>1000*3495.167</f>
        <v>3495167</v>
      </c>
      <c r="I58" s="90">
        <f>1000000*G58/H58</f>
        <v>36.335888957523345</v>
      </c>
      <c r="J58" s="88"/>
      <c r="K58" s="88">
        <v>1</v>
      </c>
      <c r="L58" s="88"/>
      <c r="M58" s="88"/>
      <c r="N58" s="88"/>
      <c r="O58" s="88"/>
      <c r="P58" s="88"/>
      <c r="Q58" s="105">
        <f>127/127</f>
        <v>1</v>
      </c>
    </row>
    <row r="59" spans="2:17" ht="21" customHeight="1">
      <c r="B59" s="172" t="s">
        <v>73</v>
      </c>
      <c r="C59" s="96"/>
      <c r="D59" s="140" t="s">
        <v>20</v>
      </c>
      <c r="E59" s="97">
        <v>2010</v>
      </c>
      <c r="F59" s="93" t="s">
        <v>27</v>
      </c>
      <c r="G59" s="98">
        <v>35</v>
      </c>
      <c r="H59" s="98"/>
      <c r="I59" s="90"/>
      <c r="J59" s="97"/>
      <c r="K59" s="97">
        <v>1</v>
      </c>
      <c r="L59" s="97"/>
      <c r="M59" s="97"/>
      <c r="N59" s="97"/>
      <c r="O59" s="97"/>
      <c r="P59" s="97"/>
      <c r="Q59" s="142"/>
    </row>
    <row r="60" spans="2:17" ht="21" customHeight="1">
      <c r="B60" s="161" t="s">
        <v>74</v>
      </c>
      <c r="C60" s="162"/>
      <c r="D60" s="163" t="s">
        <v>20</v>
      </c>
      <c r="E60" s="97">
        <v>2010</v>
      </c>
      <c r="F60" s="81" t="s">
        <v>21</v>
      </c>
      <c r="G60" s="98">
        <v>549</v>
      </c>
      <c r="H60" s="98">
        <f>1000*18191.577</f>
        <v>18191577</v>
      </c>
      <c r="I60" s="99">
        <f>1000000*G60/H60</f>
        <v>30.17880198071888</v>
      </c>
      <c r="J60" s="97">
        <v>2</v>
      </c>
      <c r="K60" s="97">
        <v>1</v>
      </c>
      <c r="L60" s="97"/>
      <c r="M60" s="97"/>
      <c r="N60" s="97"/>
      <c r="O60" s="97"/>
      <c r="P60" s="97"/>
      <c r="Q60" s="142">
        <f>60/549</f>
        <v>0.1092896174863388</v>
      </c>
    </row>
    <row r="61" spans="2:17" ht="21" customHeight="1">
      <c r="B61" s="173" t="s">
        <v>75</v>
      </c>
      <c r="C61" s="174"/>
      <c r="D61" s="174"/>
      <c r="E61" s="174"/>
      <c r="F61" s="174"/>
      <c r="G61" s="174"/>
      <c r="H61" s="174"/>
      <c r="I61" s="174"/>
      <c r="J61" s="174"/>
      <c r="K61" s="174"/>
      <c r="L61" s="174"/>
      <c r="M61" s="174"/>
      <c r="N61" s="174"/>
      <c r="O61" s="174"/>
      <c r="P61" s="174"/>
      <c r="Q61" s="175"/>
    </row>
    <row r="62" spans="2:17" ht="21" customHeight="1">
      <c r="B62" s="176" t="s">
        <v>76</v>
      </c>
      <c r="C62" s="177"/>
      <c r="D62" s="178" t="s">
        <v>20</v>
      </c>
      <c r="E62" s="179">
        <v>2010</v>
      </c>
      <c r="F62" s="81" t="s">
        <v>21</v>
      </c>
      <c r="G62" s="180">
        <v>4</v>
      </c>
      <c r="H62" s="180">
        <f>1000*477.665</f>
        <v>477665</v>
      </c>
      <c r="I62" s="181">
        <f>1000000*G62/H62</f>
        <v>8.374069693195022</v>
      </c>
      <c r="J62" s="179"/>
      <c r="K62" s="179">
        <v>1</v>
      </c>
      <c r="L62" s="179"/>
      <c r="M62" s="179"/>
      <c r="N62" s="179"/>
      <c r="O62" s="179"/>
      <c r="P62" s="179"/>
      <c r="Q62" s="182"/>
    </row>
    <row r="63" spans="2:17" ht="21" customHeight="1">
      <c r="B63" s="176" t="s">
        <v>77</v>
      </c>
      <c r="C63" s="177"/>
      <c r="D63" s="178" t="s">
        <v>20</v>
      </c>
      <c r="E63" s="179">
        <v>2008</v>
      </c>
      <c r="F63" s="183"/>
      <c r="G63" s="180"/>
      <c r="H63" s="180"/>
      <c r="I63" s="181"/>
      <c r="J63" s="179"/>
      <c r="K63" s="179">
        <v>1</v>
      </c>
      <c r="L63" s="179"/>
      <c r="M63" s="179"/>
      <c r="N63" s="179"/>
      <c r="O63" s="179"/>
      <c r="P63" s="179"/>
      <c r="Q63" s="182"/>
    </row>
    <row r="64" spans="2:17" ht="21" customHeight="1" hidden="1">
      <c r="B64" s="184" t="s">
        <v>78</v>
      </c>
      <c r="C64" s="185"/>
      <c r="D64" s="186"/>
      <c r="E64" s="111"/>
      <c r="F64" s="187"/>
      <c r="G64" s="188"/>
      <c r="H64" s="189"/>
      <c r="I64" s="115"/>
      <c r="J64" s="116"/>
      <c r="K64" s="116"/>
      <c r="L64" s="116"/>
      <c r="M64" s="116"/>
      <c r="N64" s="116"/>
      <c r="O64" s="116"/>
      <c r="P64" s="116"/>
      <c r="Q64" s="190"/>
    </row>
    <row r="65" spans="2:17" ht="21" customHeight="1">
      <c r="B65" s="191"/>
      <c r="C65" s="192"/>
      <c r="D65" s="192"/>
      <c r="E65" s="192"/>
      <c r="F65" s="192"/>
      <c r="G65" s="192"/>
      <c r="H65" s="192"/>
      <c r="I65" s="192"/>
      <c r="J65" s="192"/>
      <c r="K65" s="192"/>
      <c r="L65" s="192"/>
      <c r="M65" s="192"/>
      <c r="N65" s="192"/>
      <c r="O65" s="192"/>
      <c r="P65" s="192"/>
      <c r="Q65" s="193"/>
    </row>
    <row r="66" spans="2:17" ht="30" customHeight="1">
      <c r="B66" s="194" t="s">
        <v>79</v>
      </c>
      <c r="C66" s="195"/>
      <c r="D66" s="195"/>
      <c r="E66" s="195"/>
      <c r="F66" s="195"/>
      <c r="G66" s="195"/>
      <c r="H66" s="195"/>
      <c r="I66" s="195"/>
      <c r="J66" s="195"/>
      <c r="K66" s="195"/>
      <c r="L66" s="195"/>
      <c r="M66" s="195"/>
      <c r="N66" s="195"/>
      <c r="O66" s="195"/>
      <c r="P66" s="195"/>
      <c r="Q66" s="196"/>
    </row>
    <row r="67" spans="2:17" ht="21" customHeight="1">
      <c r="B67" s="197" t="s">
        <v>80</v>
      </c>
      <c r="C67" s="198"/>
      <c r="D67" s="199" t="s">
        <v>20</v>
      </c>
      <c r="E67" s="179">
        <v>2008</v>
      </c>
      <c r="F67" s="183" t="s">
        <v>21</v>
      </c>
      <c r="G67" s="180">
        <v>1790</v>
      </c>
      <c r="H67" s="180">
        <f>1000*14551.895</f>
        <v>14551895</v>
      </c>
      <c r="I67" s="200">
        <f>1000000*G67/H67</f>
        <v>123.008034348791</v>
      </c>
      <c r="J67" s="179">
        <v>3</v>
      </c>
      <c r="K67" s="179">
        <v>1</v>
      </c>
      <c r="L67" s="179">
        <v>5</v>
      </c>
      <c r="M67" s="179">
        <v>4</v>
      </c>
      <c r="N67" s="179">
        <v>2</v>
      </c>
      <c r="O67" s="179"/>
      <c r="P67" s="179"/>
      <c r="Q67" s="182">
        <f>374/1705</f>
        <v>0.21935483870967742</v>
      </c>
    </row>
    <row r="68" spans="2:17" ht="21" customHeight="1">
      <c r="B68" s="191"/>
      <c r="C68" s="192"/>
      <c r="D68" s="192"/>
      <c r="E68" s="192"/>
      <c r="F68" s="192"/>
      <c r="G68" s="192"/>
      <c r="H68" s="192"/>
      <c r="I68" s="192"/>
      <c r="J68" s="192"/>
      <c r="K68" s="192"/>
      <c r="L68" s="192"/>
      <c r="M68" s="192"/>
      <c r="N68" s="192"/>
      <c r="O68" s="192"/>
      <c r="P68" s="192"/>
      <c r="Q68" s="193"/>
    </row>
    <row r="69" spans="2:17" ht="30" customHeight="1">
      <c r="B69" s="146" t="s">
        <v>81</v>
      </c>
      <c r="C69" s="147"/>
      <c r="D69" s="147"/>
      <c r="E69" s="147"/>
      <c r="F69" s="147"/>
      <c r="G69" s="147"/>
      <c r="H69" s="147"/>
      <c r="I69" s="147"/>
      <c r="J69" s="147"/>
      <c r="K69" s="147"/>
      <c r="L69" s="147"/>
      <c r="M69" s="147"/>
      <c r="N69" s="147"/>
      <c r="O69" s="147"/>
      <c r="P69" s="147"/>
      <c r="Q69" s="148"/>
    </row>
    <row r="70" spans="2:17" ht="21" customHeight="1">
      <c r="B70" s="149" t="s">
        <v>82</v>
      </c>
      <c r="C70" s="150"/>
      <c r="D70" s="150"/>
      <c r="E70" s="150"/>
      <c r="F70" s="150"/>
      <c r="G70" s="150"/>
      <c r="H70" s="150"/>
      <c r="I70" s="150"/>
      <c r="J70" s="150"/>
      <c r="K70" s="150"/>
      <c r="L70" s="150"/>
      <c r="M70" s="150"/>
      <c r="N70" s="150"/>
      <c r="O70" s="150"/>
      <c r="P70" s="150"/>
      <c r="Q70" s="151"/>
    </row>
    <row r="71" spans="2:17" ht="21" customHeight="1">
      <c r="B71" s="167" t="s">
        <v>83</v>
      </c>
      <c r="C71" s="168"/>
      <c r="D71" s="140" t="s">
        <v>20</v>
      </c>
      <c r="E71" s="80">
        <v>2007</v>
      </c>
      <c r="F71" s="160" t="s">
        <v>21</v>
      </c>
      <c r="G71" s="82">
        <v>195</v>
      </c>
      <c r="H71" s="82">
        <f>1000*5629.132</f>
        <v>5629132</v>
      </c>
      <c r="I71" s="83">
        <f aca="true" t="shared" si="0" ref="I71:I101">1000000*G71/H71</f>
        <v>34.6412199962623</v>
      </c>
      <c r="J71" s="80"/>
      <c r="K71" s="80">
        <v>1</v>
      </c>
      <c r="L71" s="80">
        <v>2</v>
      </c>
      <c r="M71" s="80"/>
      <c r="N71" s="80"/>
      <c r="O71" s="80"/>
      <c r="P71" s="80"/>
      <c r="Q71" s="84">
        <f>175/195</f>
        <v>0.8974358974358975</v>
      </c>
    </row>
    <row r="72" spans="2:17" ht="21" customHeight="1">
      <c r="B72" s="169" t="s">
        <v>84</v>
      </c>
      <c r="C72" s="170"/>
      <c r="D72" s="140" t="s">
        <v>85</v>
      </c>
      <c r="E72" s="88">
        <v>2004</v>
      </c>
      <c r="F72" s="160" t="s">
        <v>21</v>
      </c>
      <c r="G72" s="89">
        <v>74</v>
      </c>
      <c r="H72" s="89">
        <f>1000*6816.805</f>
        <v>6816805</v>
      </c>
      <c r="I72" s="83">
        <f t="shared" si="0"/>
        <v>10.855525425767643</v>
      </c>
      <c r="J72" s="88"/>
      <c r="K72" s="88">
        <v>1</v>
      </c>
      <c r="L72" s="88">
        <v>2</v>
      </c>
      <c r="M72" s="88"/>
      <c r="N72" s="88"/>
      <c r="O72" s="88"/>
      <c r="P72" s="88"/>
      <c r="Q72" s="91"/>
    </row>
    <row r="73" spans="2:17" ht="21" customHeight="1">
      <c r="B73" s="169" t="s">
        <v>86</v>
      </c>
      <c r="C73" s="170"/>
      <c r="D73" s="140" t="s">
        <v>20</v>
      </c>
      <c r="E73" s="88">
        <v>2010</v>
      </c>
      <c r="F73" s="93" t="s">
        <v>21</v>
      </c>
      <c r="G73" s="89">
        <v>12</v>
      </c>
      <c r="H73" s="89">
        <f>1000*779.916</f>
        <v>779916</v>
      </c>
      <c r="I73" s="90">
        <f t="shared" si="0"/>
        <v>15.386272367793454</v>
      </c>
      <c r="J73" s="88">
        <v>2</v>
      </c>
      <c r="K73" s="88">
        <v>1</v>
      </c>
      <c r="L73" s="88">
        <v>3</v>
      </c>
      <c r="M73" s="88"/>
      <c r="N73" s="88">
        <v>4</v>
      </c>
      <c r="O73" s="88"/>
      <c r="P73" s="88">
        <v>4</v>
      </c>
      <c r="Q73" s="105">
        <f>9/12</f>
        <v>0.75</v>
      </c>
    </row>
    <row r="74" spans="2:17" ht="21" customHeight="1">
      <c r="B74" s="169" t="s">
        <v>87</v>
      </c>
      <c r="C74" s="170"/>
      <c r="D74" s="140" t="s">
        <v>20</v>
      </c>
      <c r="E74" s="88">
        <v>2009</v>
      </c>
      <c r="F74" s="93" t="s">
        <v>21</v>
      </c>
      <c r="G74" s="89">
        <v>123</v>
      </c>
      <c r="H74" s="89">
        <f>1000*7438.866</f>
        <v>7438866</v>
      </c>
      <c r="I74" s="90">
        <f t="shared" si="0"/>
        <v>16.534778284754694</v>
      </c>
      <c r="J74" s="88"/>
      <c r="K74" s="88">
        <v>2</v>
      </c>
      <c r="L74" s="88"/>
      <c r="M74" s="88">
        <v>3</v>
      </c>
      <c r="N74" s="88">
        <v>1</v>
      </c>
      <c r="O74" s="88"/>
      <c r="P74" s="88">
        <v>4</v>
      </c>
      <c r="Q74" s="105">
        <f>49/123</f>
        <v>0.3983739837398374</v>
      </c>
    </row>
    <row r="75" spans="2:17" ht="21" customHeight="1">
      <c r="B75" s="161" t="s">
        <v>88</v>
      </c>
      <c r="C75" s="162"/>
      <c r="D75" s="140" t="s">
        <v>20</v>
      </c>
      <c r="E75" s="97">
        <v>2009</v>
      </c>
      <c r="F75" s="81" t="s">
        <v>21</v>
      </c>
      <c r="G75" s="98">
        <v>276</v>
      </c>
      <c r="H75" s="98">
        <f>1000*3629.163</f>
        <v>3629163</v>
      </c>
      <c r="I75" s="99">
        <f t="shared" si="0"/>
        <v>76.05059348395208</v>
      </c>
      <c r="J75" s="97"/>
      <c r="K75" s="97">
        <v>1</v>
      </c>
      <c r="L75" s="97"/>
      <c r="M75" s="97"/>
      <c r="N75" s="97"/>
      <c r="O75" s="97"/>
      <c r="P75" s="97"/>
      <c r="Q75" s="142">
        <f>206/276</f>
        <v>0.7463768115942029</v>
      </c>
    </row>
    <row r="76" spans="2:17" ht="21" customHeight="1">
      <c r="B76" s="169" t="s">
        <v>89</v>
      </c>
      <c r="C76" s="170"/>
      <c r="D76" s="140" t="s">
        <v>20</v>
      </c>
      <c r="E76" s="88">
        <v>2009</v>
      </c>
      <c r="F76" s="93" t="s">
        <v>21</v>
      </c>
      <c r="G76" s="89">
        <v>161</v>
      </c>
      <c r="H76" s="89">
        <f>1000*908.728</f>
        <v>908728</v>
      </c>
      <c r="I76" s="90">
        <f t="shared" si="0"/>
        <v>177.17072655404039</v>
      </c>
      <c r="J76" s="88">
        <v>6</v>
      </c>
      <c r="K76" s="88">
        <v>1</v>
      </c>
      <c r="L76" s="88">
        <v>5</v>
      </c>
      <c r="M76" s="88">
        <v>2</v>
      </c>
      <c r="N76" s="88">
        <v>3</v>
      </c>
      <c r="O76" s="88">
        <v>4</v>
      </c>
      <c r="P76" s="88"/>
      <c r="Q76" s="91"/>
    </row>
    <row r="77" spans="2:17" ht="21" customHeight="1">
      <c r="B77" s="169" t="s">
        <v>90</v>
      </c>
      <c r="C77" s="170"/>
      <c r="D77" s="140" t="s">
        <v>20</v>
      </c>
      <c r="E77" s="88">
        <v>2009</v>
      </c>
      <c r="F77" s="93" t="s">
        <v>21</v>
      </c>
      <c r="G77" s="89">
        <v>254</v>
      </c>
      <c r="H77" s="89">
        <v>2769210</v>
      </c>
      <c r="I77" s="90">
        <f t="shared" si="0"/>
        <v>91.7229101440483</v>
      </c>
      <c r="J77" s="88">
        <v>3</v>
      </c>
      <c r="K77" s="88">
        <v>1</v>
      </c>
      <c r="L77" s="88"/>
      <c r="M77" s="88">
        <v>2</v>
      </c>
      <c r="N77" s="88"/>
      <c r="O77" s="88"/>
      <c r="P77" s="88"/>
      <c r="Q77" s="201">
        <f>105/254</f>
        <v>0.41338582677165353</v>
      </c>
    </row>
    <row r="78" spans="2:17" ht="21" customHeight="1">
      <c r="B78" s="169" t="s">
        <v>91</v>
      </c>
      <c r="C78" s="170"/>
      <c r="D78" s="140" t="s">
        <v>20</v>
      </c>
      <c r="E78" s="88">
        <v>2007</v>
      </c>
      <c r="F78" s="93" t="s">
        <v>21</v>
      </c>
      <c r="G78" s="89">
        <v>287</v>
      </c>
      <c r="H78" s="89">
        <f>1000*40228.812</f>
        <v>40228812</v>
      </c>
      <c r="I78" s="90">
        <f t="shared" si="0"/>
        <v>7.134190291276809</v>
      </c>
      <c r="J78" s="88"/>
      <c r="K78" s="88">
        <v>1</v>
      </c>
      <c r="L78" s="88">
        <v>2</v>
      </c>
      <c r="M78" s="88">
        <v>3</v>
      </c>
      <c r="N78" s="88"/>
      <c r="O78" s="88"/>
      <c r="P78" s="88"/>
      <c r="Q78" s="105"/>
    </row>
    <row r="79" spans="2:17" ht="21" customHeight="1">
      <c r="B79" s="169" t="s">
        <v>92</v>
      </c>
      <c r="C79" s="170"/>
      <c r="D79" s="140" t="s">
        <v>93</v>
      </c>
      <c r="E79" s="88">
        <v>2010</v>
      </c>
      <c r="F79" s="93" t="s">
        <v>21</v>
      </c>
      <c r="G79" s="89">
        <v>1237</v>
      </c>
      <c r="H79" s="89">
        <f>1000*54434.999</f>
        <v>54434999</v>
      </c>
      <c r="I79" s="90">
        <f t="shared" si="0"/>
        <v>22.724350559830082</v>
      </c>
      <c r="J79" s="88"/>
      <c r="K79" s="88">
        <v>1</v>
      </c>
      <c r="L79" s="88">
        <v>2</v>
      </c>
      <c r="M79" s="88">
        <v>3</v>
      </c>
      <c r="N79" s="88"/>
      <c r="O79" s="88"/>
      <c r="P79" s="88"/>
      <c r="Q79" s="91"/>
    </row>
    <row r="80" spans="2:17" ht="21" customHeight="1">
      <c r="B80" s="152" t="s">
        <v>94</v>
      </c>
      <c r="C80" s="153"/>
      <c r="D80" s="140" t="s">
        <v>20</v>
      </c>
      <c r="E80" s="88">
        <v>2008</v>
      </c>
      <c r="F80" s="93" t="s">
        <v>21</v>
      </c>
      <c r="G80" s="89">
        <v>1</v>
      </c>
      <c r="H80" s="89">
        <v>18660</v>
      </c>
      <c r="I80" s="90">
        <f t="shared" si="0"/>
        <v>53.59056806002144</v>
      </c>
      <c r="J80" s="88"/>
      <c r="K80" s="88"/>
      <c r="L80" s="88"/>
      <c r="M80" s="88">
        <v>1</v>
      </c>
      <c r="N80" s="88"/>
      <c r="O80" s="88"/>
      <c r="P80" s="88"/>
      <c r="Q80" s="105">
        <v>0</v>
      </c>
    </row>
    <row r="81" spans="2:17" ht="21" customHeight="1">
      <c r="B81" s="169" t="s">
        <v>95</v>
      </c>
      <c r="C81" s="170"/>
      <c r="D81" s="140" t="s">
        <v>20</v>
      </c>
      <c r="E81" s="88">
        <v>2010</v>
      </c>
      <c r="F81" s="93" t="s">
        <v>21</v>
      </c>
      <c r="G81" s="89">
        <v>108</v>
      </c>
      <c r="H81" s="89">
        <f>1000*7596.828</f>
        <v>7596828</v>
      </c>
      <c r="I81" s="90">
        <f t="shared" si="0"/>
        <v>14.216459817176327</v>
      </c>
      <c r="J81" s="88"/>
      <c r="K81" s="88">
        <v>1</v>
      </c>
      <c r="L81" s="88"/>
      <c r="M81" s="88"/>
      <c r="N81" s="88"/>
      <c r="O81" s="88"/>
      <c r="P81" s="88"/>
      <c r="Q81" s="105"/>
    </row>
    <row r="82" spans="2:17" ht="21" customHeight="1">
      <c r="B82" s="169" t="s">
        <v>96</v>
      </c>
      <c r="C82" s="170"/>
      <c r="D82" s="140" t="s">
        <v>20</v>
      </c>
      <c r="E82" s="88">
        <v>2010</v>
      </c>
      <c r="F82" s="93" t="s">
        <v>21</v>
      </c>
      <c r="G82" s="89">
        <v>29</v>
      </c>
      <c r="H82" s="89">
        <f>1000*6865.701</f>
        <v>6865701</v>
      </c>
      <c r="I82" s="90">
        <f t="shared" si="0"/>
        <v>4.223894981736024</v>
      </c>
      <c r="J82" s="88">
        <v>5</v>
      </c>
      <c r="K82" s="88">
        <v>1</v>
      </c>
      <c r="L82" s="88">
        <v>3</v>
      </c>
      <c r="M82" s="88">
        <v>2</v>
      </c>
      <c r="N82" s="88">
        <v>4</v>
      </c>
      <c r="O82" s="88"/>
      <c r="P82" s="88"/>
      <c r="Q82" s="105">
        <f>17/29</f>
        <v>0.5862068965517241</v>
      </c>
    </row>
    <row r="83" spans="2:17" ht="21" customHeight="1">
      <c r="B83" s="169" t="s">
        <v>97</v>
      </c>
      <c r="C83" s="170"/>
      <c r="D83" s="140" t="s">
        <v>20</v>
      </c>
      <c r="E83" s="88">
        <v>2007</v>
      </c>
      <c r="F83" s="93" t="s">
        <v>21</v>
      </c>
      <c r="G83" s="89">
        <f>37+8</f>
        <v>45</v>
      </c>
      <c r="H83" s="89">
        <f>1000*203.855</f>
        <v>203855</v>
      </c>
      <c r="I83" s="90">
        <f t="shared" si="0"/>
        <v>220.74513747516616</v>
      </c>
      <c r="J83" s="88"/>
      <c r="K83" s="88">
        <v>1</v>
      </c>
      <c r="L83" s="88"/>
      <c r="M83" s="88">
        <v>2</v>
      </c>
      <c r="N83" s="88">
        <v>3</v>
      </c>
      <c r="O83" s="88"/>
      <c r="P83" s="88"/>
      <c r="Q83" s="105">
        <v>1</v>
      </c>
    </row>
    <row r="84" spans="2:17" ht="21" customHeight="1">
      <c r="B84" s="169" t="s">
        <v>98</v>
      </c>
      <c r="C84" s="170"/>
      <c r="D84" s="140" t="s">
        <v>20</v>
      </c>
      <c r="E84" s="88">
        <v>2005</v>
      </c>
      <c r="F84" s="93" t="s">
        <v>21</v>
      </c>
      <c r="G84" s="89">
        <v>326</v>
      </c>
      <c r="H84" s="89">
        <f>1000*2842.07</f>
        <v>2842070</v>
      </c>
      <c r="I84" s="90">
        <f t="shared" si="0"/>
        <v>114.70512689694483</v>
      </c>
      <c r="J84" s="88"/>
      <c r="K84" s="88">
        <v>1</v>
      </c>
      <c r="L84" s="88">
        <v>2</v>
      </c>
      <c r="M84" s="88">
        <v>3</v>
      </c>
      <c r="N84" s="88"/>
      <c r="O84" s="88"/>
      <c r="P84" s="88">
        <v>4</v>
      </c>
      <c r="Q84" s="105">
        <f>159/326</f>
        <v>0.48773006134969327</v>
      </c>
    </row>
    <row r="85" spans="2:17" ht="21" customHeight="1">
      <c r="B85" s="169" t="s">
        <v>99</v>
      </c>
      <c r="C85" s="170"/>
      <c r="D85" s="140" t="s">
        <v>20</v>
      </c>
      <c r="E85" s="88">
        <v>2010</v>
      </c>
      <c r="F85" s="93" t="s">
        <v>21</v>
      </c>
      <c r="G85" s="89">
        <v>374</v>
      </c>
      <c r="H85" s="89">
        <f>1000*39713.011</f>
        <v>39713011</v>
      </c>
      <c r="I85" s="90">
        <f t="shared" si="0"/>
        <v>9.417568463897135</v>
      </c>
      <c r="J85" s="88">
        <v>3</v>
      </c>
      <c r="K85" s="88">
        <v>1</v>
      </c>
      <c r="L85" s="88">
        <v>2</v>
      </c>
      <c r="M85" s="88">
        <v>3</v>
      </c>
      <c r="N85" s="88">
        <v>3</v>
      </c>
      <c r="O85" s="88"/>
      <c r="P85" s="88"/>
      <c r="Q85" s="105">
        <f>374/374</f>
        <v>1</v>
      </c>
    </row>
    <row r="86" spans="2:17" ht="21" customHeight="1">
      <c r="B86" s="169" t="s">
        <v>100</v>
      </c>
      <c r="C86" s="170"/>
      <c r="D86" s="140" t="s">
        <v>20</v>
      </c>
      <c r="E86" s="88">
        <v>2010</v>
      </c>
      <c r="F86" s="93" t="s">
        <v>21</v>
      </c>
      <c r="G86" s="89">
        <v>8</v>
      </c>
      <c r="H86" s="89">
        <f>1000*1539.373</f>
        <v>1539373</v>
      </c>
      <c r="I86" s="90">
        <f t="shared" si="0"/>
        <v>5.196921084103723</v>
      </c>
      <c r="J86" s="88"/>
      <c r="K86" s="88">
        <v>1</v>
      </c>
      <c r="L86" s="88"/>
      <c r="M86" s="88">
        <v>2</v>
      </c>
      <c r="N86" s="88"/>
      <c r="O86" s="88"/>
      <c r="P86" s="88"/>
      <c r="Q86" s="105">
        <f>8/8</f>
        <v>1</v>
      </c>
    </row>
    <row r="87" spans="2:17" ht="21" customHeight="1">
      <c r="B87" s="169" t="s">
        <v>101</v>
      </c>
      <c r="C87" s="170"/>
      <c r="D87" s="140" t="s">
        <v>20</v>
      </c>
      <c r="E87" s="88">
        <v>2010</v>
      </c>
      <c r="F87" s="93" t="s">
        <v>21</v>
      </c>
      <c r="G87" s="89">
        <v>0</v>
      </c>
      <c r="H87" s="89">
        <f>1000*24.86208</f>
        <v>24862.079999999998</v>
      </c>
      <c r="I87" s="90">
        <f t="shared" si="0"/>
        <v>0</v>
      </c>
      <c r="J87" s="88"/>
      <c r="K87" s="88"/>
      <c r="L87" s="88"/>
      <c r="M87" s="88"/>
      <c r="N87" s="88"/>
      <c r="O87" s="88"/>
      <c r="P87" s="88"/>
      <c r="Q87" s="105">
        <v>0</v>
      </c>
    </row>
    <row r="88" spans="2:17" ht="21" customHeight="1">
      <c r="B88" s="169" t="s">
        <v>102</v>
      </c>
      <c r="C88" s="170"/>
      <c r="D88" s="140" t="s">
        <v>20</v>
      </c>
      <c r="E88" s="88">
        <v>2010</v>
      </c>
      <c r="F88" s="93" t="s">
        <v>21</v>
      </c>
      <c r="G88" s="89">
        <v>51</v>
      </c>
      <c r="H88" s="89">
        <f>1000*2295.757</f>
        <v>2295757</v>
      </c>
      <c r="I88" s="90">
        <f t="shared" si="0"/>
        <v>22.214894694865354</v>
      </c>
      <c r="J88" s="88"/>
      <c r="K88" s="88">
        <v>1</v>
      </c>
      <c r="L88" s="88">
        <v>2</v>
      </c>
      <c r="M88" s="88"/>
      <c r="N88" s="88"/>
      <c r="O88" s="88"/>
      <c r="P88" s="88"/>
      <c r="Q88" s="105">
        <f>45/51</f>
        <v>0.8823529411764706</v>
      </c>
    </row>
    <row r="89" spans="2:17" ht="21" customHeight="1">
      <c r="B89" s="169" t="s">
        <v>103</v>
      </c>
      <c r="C89" s="170"/>
      <c r="D89" s="140" t="s">
        <v>20</v>
      </c>
      <c r="E89" s="88">
        <v>2009</v>
      </c>
      <c r="F89" s="93" t="s">
        <v>21</v>
      </c>
      <c r="G89" s="89">
        <v>30</v>
      </c>
      <c r="H89" s="89">
        <f>1000*339.395</f>
        <v>339395</v>
      </c>
      <c r="I89" s="90">
        <f t="shared" si="0"/>
        <v>88.39258091604178</v>
      </c>
      <c r="J89" s="88"/>
      <c r="K89" s="88">
        <v>1</v>
      </c>
      <c r="L89" s="88">
        <v>2</v>
      </c>
      <c r="M89" s="88"/>
      <c r="N89" s="88">
        <v>3</v>
      </c>
      <c r="O89" s="88"/>
      <c r="P89" s="88"/>
      <c r="Q89" s="105">
        <f>14/30</f>
        <v>0.4666666666666667</v>
      </c>
    </row>
    <row r="90" spans="2:17" ht="21" customHeight="1">
      <c r="B90" s="169" t="s">
        <v>104</v>
      </c>
      <c r="C90" s="170"/>
      <c r="D90" s="140" t="s">
        <v>20</v>
      </c>
      <c r="E90" s="88">
        <v>2010</v>
      </c>
      <c r="F90" s="93" t="s">
        <v>21</v>
      </c>
      <c r="G90" s="89">
        <v>2</v>
      </c>
      <c r="H90" s="89">
        <f>1000*295.559</f>
        <v>295559</v>
      </c>
      <c r="I90" s="90">
        <f t="shared" si="0"/>
        <v>6.766838431582189</v>
      </c>
      <c r="J90" s="88"/>
      <c r="K90" s="88">
        <v>1</v>
      </c>
      <c r="L90" s="88"/>
      <c r="M90" s="88"/>
      <c r="N90" s="88"/>
      <c r="O90" s="88"/>
      <c r="P90" s="88"/>
      <c r="Q90" s="105">
        <f>2/2</f>
        <v>1</v>
      </c>
    </row>
    <row r="91" spans="2:17" ht="21" customHeight="1">
      <c r="B91" s="138" t="s">
        <v>105</v>
      </c>
      <c r="C91" s="139"/>
      <c r="D91" s="140" t="s">
        <v>20</v>
      </c>
      <c r="E91" s="88">
        <v>2009</v>
      </c>
      <c r="F91" s="93" t="s">
        <v>21</v>
      </c>
      <c r="G91" s="89">
        <v>0</v>
      </c>
      <c r="H91" s="89">
        <f>1000*20.474688</f>
        <v>20474.688000000002</v>
      </c>
      <c r="I91" s="90">
        <f t="shared" si="0"/>
        <v>0</v>
      </c>
      <c r="J91" s="88"/>
      <c r="K91" s="88"/>
      <c r="L91" s="88"/>
      <c r="M91" s="88"/>
      <c r="N91" s="88"/>
      <c r="O91" s="88"/>
      <c r="P91" s="88"/>
      <c r="Q91" s="105"/>
    </row>
    <row r="92" spans="2:17" ht="21" customHeight="1">
      <c r="B92" s="169" t="s">
        <v>106</v>
      </c>
      <c r="C92" s="170"/>
      <c r="D92" s="140" t="s">
        <v>20</v>
      </c>
      <c r="E92" s="88">
        <v>2009</v>
      </c>
      <c r="F92" s="93" t="s">
        <v>21</v>
      </c>
      <c r="G92" s="89">
        <v>139</v>
      </c>
      <c r="H92" s="89">
        <f>1000*11127.491</f>
        <v>11127491</v>
      </c>
      <c r="I92" s="90">
        <f t="shared" si="0"/>
        <v>12.491585030264234</v>
      </c>
      <c r="J92" s="88"/>
      <c r="K92" s="88">
        <v>1</v>
      </c>
      <c r="L92" s="88">
        <v>2</v>
      </c>
      <c r="M92" s="88">
        <v>4</v>
      </c>
      <c r="N92" s="88">
        <v>3</v>
      </c>
      <c r="O92" s="88">
        <v>5</v>
      </c>
      <c r="P92" s="88"/>
      <c r="Q92" s="105">
        <f>139/139</f>
        <v>1</v>
      </c>
    </row>
    <row r="93" spans="2:17" ht="21" customHeight="1">
      <c r="B93" s="169" t="s">
        <v>107</v>
      </c>
      <c r="C93" s="170"/>
      <c r="D93" s="140" t="s">
        <v>20</v>
      </c>
      <c r="E93" s="88">
        <v>2008</v>
      </c>
      <c r="F93" s="93" t="s">
        <v>21</v>
      </c>
      <c r="G93" s="89">
        <v>179</v>
      </c>
      <c r="H93" s="89">
        <f>1000*3168.459</f>
        <v>3168459</v>
      </c>
      <c r="I93" s="90">
        <f t="shared" si="0"/>
        <v>56.49433999303763</v>
      </c>
      <c r="J93" s="88"/>
      <c r="K93" s="88">
        <v>1</v>
      </c>
      <c r="L93" s="88"/>
      <c r="M93" s="88"/>
      <c r="N93" s="88"/>
      <c r="O93" s="88"/>
      <c r="P93" s="88"/>
      <c r="Q93" s="91"/>
    </row>
    <row r="94" spans="2:17" ht="21" customHeight="1">
      <c r="B94" s="169" t="s">
        <v>108</v>
      </c>
      <c r="C94" s="170"/>
      <c r="D94" s="140" t="s">
        <v>20</v>
      </c>
      <c r="E94" s="88">
        <v>2007</v>
      </c>
      <c r="F94" s="93" t="s">
        <v>21</v>
      </c>
      <c r="G94" s="89">
        <v>214</v>
      </c>
      <c r="H94" s="89">
        <f>1000*27120.607</f>
        <v>27120607</v>
      </c>
      <c r="I94" s="90">
        <f t="shared" si="0"/>
        <v>7.89067884800661</v>
      </c>
      <c r="J94" s="88"/>
      <c r="K94" s="88"/>
      <c r="L94" s="88"/>
      <c r="M94" s="88"/>
      <c r="N94" s="88"/>
      <c r="O94" s="88"/>
      <c r="P94" s="88"/>
      <c r="Q94" s="91"/>
    </row>
    <row r="95" spans="2:17" ht="21" customHeight="1">
      <c r="B95" s="169" t="s">
        <v>109</v>
      </c>
      <c r="C95" s="170"/>
      <c r="D95" s="140" t="s">
        <v>20</v>
      </c>
      <c r="E95" s="88">
        <v>2009</v>
      </c>
      <c r="F95" s="93" t="s">
        <v>21</v>
      </c>
      <c r="G95" s="89">
        <v>27</v>
      </c>
      <c r="H95" s="89">
        <f>1000*7144.042</f>
        <v>7144042</v>
      </c>
      <c r="I95" s="90">
        <f t="shared" si="0"/>
        <v>3.7793730775938887</v>
      </c>
      <c r="J95" s="88"/>
      <c r="K95" s="88"/>
      <c r="L95" s="88"/>
      <c r="M95" s="88"/>
      <c r="N95" s="88"/>
      <c r="O95" s="88"/>
      <c r="P95" s="88"/>
      <c r="Q95" s="105"/>
    </row>
    <row r="96" spans="2:17" ht="21" customHeight="1">
      <c r="B96" s="169" t="s">
        <v>110</v>
      </c>
      <c r="C96" s="170"/>
      <c r="D96" s="140" t="s">
        <v>20</v>
      </c>
      <c r="E96" s="88">
        <v>2010</v>
      </c>
      <c r="F96" s="93" t="s">
        <v>21</v>
      </c>
      <c r="G96" s="89">
        <v>112</v>
      </c>
      <c r="H96" s="89">
        <f>1000*3976.038</f>
        <v>3976038</v>
      </c>
      <c r="I96" s="90">
        <f t="shared" si="0"/>
        <v>28.168744866120495</v>
      </c>
      <c r="J96" s="88"/>
      <c r="K96" s="88">
        <v>3</v>
      </c>
      <c r="L96" s="88"/>
      <c r="M96" s="88">
        <v>2</v>
      </c>
      <c r="N96" s="88">
        <v>1</v>
      </c>
      <c r="O96" s="88"/>
      <c r="P96" s="88"/>
      <c r="Q96" s="105">
        <f>42/112</f>
        <v>0.375</v>
      </c>
    </row>
    <row r="97" spans="2:17" ht="21" customHeight="1">
      <c r="B97" s="169" t="s">
        <v>111</v>
      </c>
      <c r="C97" s="170"/>
      <c r="D97" s="140" t="s">
        <v>20</v>
      </c>
      <c r="E97" s="88">
        <v>2009</v>
      </c>
      <c r="F97" s="93" t="s">
        <v>21</v>
      </c>
      <c r="G97" s="89">
        <v>28</v>
      </c>
      <c r="H97" s="89">
        <f>1000*1413.892</f>
        <v>1413892</v>
      </c>
      <c r="I97" s="90">
        <f t="shared" si="0"/>
        <v>19.803492770310605</v>
      </c>
      <c r="J97" s="88"/>
      <c r="K97" s="88">
        <v>1</v>
      </c>
      <c r="L97" s="88"/>
      <c r="M97" s="88"/>
      <c r="N97" s="88"/>
      <c r="O97" s="88"/>
      <c r="P97" s="88"/>
      <c r="Q97" s="105"/>
    </row>
    <row r="98" spans="2:17" ht="21" customHeight="1">
      <c r="B98" s="169" t="s">
        <v>112</v>
      </c>
      <c r="C98" s="170"/>
      <c r="D98" s="140" t="s">
        <v>20</v>
      </c>
      <c r="E98" s="88">
        <v>2008</v>
      </c>
      <c r="F98" s="93" t="s">
        <v>21</v>
      </c>
      <c r="G98" s="89">
        <v>1519</v>
      </c>
      <c r="H98" s="89">
        <v>33531850</v>
      </c>
      <c r="I98" s="90">
        <f t="shared" si="0"/>
        <v>45.30021457211576</v>
      </c>
      <c r="J98" s="88">
        <v>4</v>
      </c>
      <c r="K98" s="88">
        <v>1</v>
      </c>
      <c r="L98" s="88">
        <v>2</v>
      </c>
      <c r="M98" s="88">
        <v>5</v>
      </c>
      <c r="N98" s="88">
        <v>3</v>
      </c>
      <c r="O98" s="88">
        <v>6</v>
      </c>
      <c r="P98" s="88">
        <v>6</v>
      </c>
      <c r="Q98" s="105">
        <f>773/1519</f>
        <v>0.5088874259381172</v>
      </c>
    </row>
    <row r="99" spans="2:17" ht="21" customHeight="1">
      <c r="B99" s="169" t="s">
        <v>113</v>
      </c>
      <c r="C99" s="170"/>
      <c r="D99" s="140" t="s">
        <v>20</v>
      </c>
      <c r="E99" s="88">
        <v>2009</v>
      </c>
      <c r="F99" s="93" t="s">
        <v>21</v>
      </c>
      <c r="G99" s="89">
        <v>403</v>
      </c>
      <c r="H99" s="89">
        <f>1000*6091.213</f>
        <v>6091213</v>
      </c>
      <c r="I99" s="90">
        <f t="shared" si="0"/>
        <v>66.1608779729095</v>
      </c>
      <c r="J99" s="88">
        <v>4</v>
      </c>
      <c r="K99" s="88">
        <v>1</v>
      </c>
      <c r="L99" s="88">
        <v>3</v>
      </c>
      <c r="M99" s="88"/>
      <c r="N99" s="88">
        <v>2</v>
      </c>
      <c r="O99" s="88"/>
      <c r="P99" s="88"/>
      <c r="Q99" s="105">
        <f>294/403</f>
        <v>0.7295285359801489</v>
      </c>
    </row>
    <row r="100" spans="2:17" ht="21" customHeight="1">
      <c r="B100" s="169" t="s">
        <v>114</v>
      </c>
      <c r="C100" s="170"/>
      <c r="D100" s="140" t="s">
        <v>20</v>
      </c>
      <c r="E100" s="88">
        <v>2008</v>
      </c>
      <c r="F100" s="93" t="s">
        <v>27</v>
      </c>
      <c r="G100" s="89">
        <v>129</v>
      </c>
      <c r="H100" s="89">
        <f>1000*5151.069</f>
        <v>5151069</v>
      </c>
      <c r="I100" s="90">
        <f t="shared" si="0"/>
        <v>25.043345371611213</v>
      </c>
      <c r="J100" s="88"/>
      <c r="K100" s="88"/>
      <c r="L100" s="88"/>
      <c r="M100" s="88"/>
      <c r="N100" s="88"/>
      <c r="O100" s="88"/>
      <c r="P100" s="88"/>
      <c r="Q100" s="91"/>
    </row>
    <row r="101" spans="2:17" ht="21" customHeight="1">
      <c r="B101" s="161" t="s">
        <v>115</v>
      </c>
      <c r="C101" s="162"/>
      <c r="D101" s="163" t="s">
        <v>20</v>
      </c>
      <c r="E101" s="97">
        <v>2009</v>
      </c>
      <c r="F101" s="81" t="s">
        <v>21</v>
      </c>
      <c r="G101" s="98">
        <v>2155</v>
      </c>
      <c r="H101" s="98">
        <f>1000*40786.351</f>
        <v>40786351</v>
      </c>
      <c r="I101" s="99">
        <f t="shared" si="0"/>
        <v>52.83630300734675</v>
      </c>
      <c r="J101" s="97"/>
      <c r="K101" s="97">
        <v>1</v>
      </c>
      <c r="L101" s="97">
        <v>3</v>
      </c>
      <c r="M101" s="97">
        <v>4</v>
      </c>
      <c r="N101" s="97">
        <v>2</v>
      </c>
      <c r="O101" s="97"/>
      <c r="P101" s="97">
        <v>5</v>
      </c>
      <c r="Q101" s="100"/>
    </row>
    <row r="102" spans="2:17" ht="21" customHeight="1">
      <c r="B102" s="164" t="s">
        <v>116</v>
      </c>
      <c r="C102" s="165"/>
      <c r="D102" s="165"/>
      <c r="E102" s="165"/>
      <c r="F102" s="165"/>
      <c r="G102" s="165"/>
      <c r="H102" s="165"/>
      <c r="I102" s="165"/>
      <c r="J102" s="165"/>
      <c r="K102" s="165"/>
      <c r="L102" s="165"/>
      <c r="M102" s="165"/>
      <c r="N102" s="165"/>
      <c r="O102" s="165"/>
      <c r="P102" s="165"/>
      <c r="Q102" s="166"/>
    </row>
    <row r="103" spans="2:17" ht="21" customHeight="1">
      <c r="B103" s="167" t="s">
        <v>117</v>
      </c>
      <c r="C103" s="168"/>
      <c r="D103" s="140" t="s">
        <v>20</v>
      </c>
      <c r="E103" s="80">
        <v>2004</v>
      </c>
      <c r="F103" s="160" t="s">
        <v>21</v>
      </c>
      <c r="G103" s="82">
        <v>8</v>
      </c>
      <c r="H103" s="82">
        <f>1000*2025.127</f>
        <v>2025127</v>
      </c>
      <c r="I103" s="83">
        <f aca="true" t="shared" si="1" ref="I103:I110">1000000*G103/H103</f>
        <v>3.9503695323799444</v>
      </c>
      <c r="J103" s="80"/>
      <c r="K103" s="80"/>
      <c r="L103" s="80"/>
      <c r="M103" s="80"/>
      <c r="N103" s="80"/>
      <c r="O103" s="80"/>
      <c r="P103" s="80"/>
      <c r="Q103" s="84">
        <v>1</v>
      </c>
    </row>
    <row r="104" spans="2:17" ht="21" customHeight="1">
      <c r="B104" s="169" t="s">
        <v>118</v>
      </c>
      <c r="C104" s="170"/>
      <c r="D104" s="140" t="s">
        <v>20</v>
      </c>
      <c r="E104" s="88">
        <v>2009</v>
      </c>
      <c r="F104" s="93" t="s">
        <v>21</v>
      </c>
      <c r="G104" s="89">
        <v>1</v>
      </c>
      <c r="H104" s="89">
        <f>1000*2665.45</f>
        <v>2665450</v>
      </c>
      <c r="I104" s="90">
        <f t="shared" si="1"/>
        <v>0.37517117184715526</v>
      </c>
      <c r="J104" s="88"/>
      <c r="K104" s="88">
        <v>1</v>
      </c>
      <c r="L104" s="88"/>
      <c r="M104" s="88"/>
      <c r="N104" s="88"/>
      <c r="O104" s="88"/>
      <c r="P104" s="88"/>
      <c r="Q104" s="105">
        <v>1</v>
      </c>
    </row>
    <row r="105" spans="2:17" ht="21" customHeight="1">
      <c r="B105" s="169" t="s">
        <v>119</v>
      </c>
      <c r="C105" s="170"/>
      <c r="D105" s="140" t="s">
        <v>20</v>
      </c>
      <c r="E105" s="88">
        <v>2009</v>
      </c>
      <c r="F105" s="93" t="s">
        <v>21</v>
      </c>
      <c r="G105" s="89">
        <v>38</v>
      </c>
      <c r="H105" s="89">
        <f>1000*5202.43</f>
        <v>5202430</v>
      </c>
      <c r="I105" s="90">
        <f t="shared" si="1"/>
        <v>7.304278961946629</v>
      </c>
      <c r="J105" s="88"/>
      <c r="K105" s="88"/>
      <c r="L105" s="88"/>
      <c r="M105" s="88"/>
      <c r="N105" s="88"/>
      <c r="O105" s="88"/>
      <c r="P105" s="88"/>
      <c r="Q105" s="91"/>
    </row>
    <row r="106" spans="2:17" ht="21" customHeight="1">
      <c r="B106" s="169" t="s">
        <v>120</v>
      </c>
      <c r="C106" s="170"/>
      <c r="D106" s="140" t="s">
        <v>20</v>
      </c>
      <c r="E106" s="88">
        <v>2009</v>
      </c>
      <c r="F106" s="93" t="s">
        <v>21</v>
      </c>
      <c r="G106" s="89">
        <v>90</v>
      </c>
      <c r="H106" s="89">
        <f>1000*2986.933</f>
        <v>2986933</v>
      </c>
      <c r="I106" s="90">
        <f t="shared" si="1"/>
        <v>30.131241644857784</v>
      </c>
      <c r="J106" s="88">
        <v>2</v>
      </c>
      <c r="K106" s="88">
        <v>1</v>
      </c>
      <c r="L106" s="88">
        <v>4</v>
      </c>
      <c r="M106" s="88"/>
      <c r="N106" s="88">
        <v>2</v>
      </c>
      <c r="O106" s="88"/>
      <c r="P106" s="88">
        <v>5</v>
      </c>
      <c r="Q106" s="105">
        <f>62/90</f>
        <v>0.6888888888888889</v>
      </c>
    </row>
    <row r="107" spans="2:17" ht="21" customHeight="1">
      <c r="B107" s="169" t="s">
        <v>121</v>
      </c>
      <c r="C107" s="170"/>
      <c r="D107" s="140" t="s">
        <v>20</v>
      </c>
      <c r="E107" s="88">
        <v>2009</v>
      </c>
      <c r="F107" s="93" t="s">
        <v>21</v>
      </c>
      <c r="G107" s="89">
        <v>23</v>
      </c>
      <c r="H107" s="89">
        <f>1000*1446.278</f>
        <v>1446278</v>
      </c>
      <c r="I107" s="90">
        <f t="shared" si="1"/>
        <v>15.90289003912111</v>
      </c>
      <c r="J107" s="88"/>
      <c r="K107" s="88">
        <v>2</v>
      </c>
      <c r="L107" s="88">
        <v>4</v>
      </c>
      <c r="M107" s="88">
        <v>3</v>
      </c>
      <c r="N107" s="88">
        <v>1</v>
      </c>
      <c r="O107" s="88"/>
      <c r="P107" s="88"/>
      <c r="Q107" s="105">
        <f>9/23</f>
        <v>0.391304347826087</v>
      </c>
    </row>
    <row r="108" spans="2:17" ht="21" customHeight="1">
      <c r="B108" s="169" t="s">
        <v>122</v>
      </c>
      <c r="C108" s="170"/>
      <c r="D108" s="140" t="s">
        <v>85</v>
      </c>
      <c r="E108" s="88">
        <v>2009</v>
      </c>
      <c r="F108" s="93" t="s">
        <v>21</v>
      </c>
      <c r="G108" s="89">
        <v>32</v>
      </c>
      <c r="H108" s="89">
        <f>1000*15057.47</f>
        <v>15057470</v>
      </c>
      <c r="I108" s="90">
        <f t="shared" si="1"/>
        <v>2.1251910181458107</v>
      </c>
      <c r="J108" s="88"/>
      <c r="K108" s="88">
        <v>1</v>
      </c>
      <c r="L108" s="88"/>
      <c r="M108" s="88">
        <v>3</v>
      </c>
      <c r="N108" s="88">
        <v>2</v>
      </c>
      <c r="O108" s="88"/>
      <c r="P108" s="88"/>
      <c r="Q108" s="105"/>
    </row>
    <row r="109" spans="2:17" ht="21" customHeight="1">
      <c r="B109" s="138" t="s">
        <v>123</v>
      </c>
      <c r="C109" s="139"/>
      <c r="D109" s="140" t="s">
        <v>20</v>
      </c>
      <c r="E109" s="97">
        <v>2008</v>
      </c>
      <c r="F109" s="93" t="s">
        <v>21</v>
      </c>
      <c r="G109" s="98">
        <v>138</v>
      </c>
      <c r="H109" s="89">
        <f>1000*6653.064</f>
        <v>6653064</v>
      </c>
      <c r="I109" s="90">
        <f t="shared" si="1"/>
        <v>20.742322635104667</v>
      </c>
      <c r="J109" s="97"/>
      <c r="K109" s="97">
        <v>1</v>
      </c>
      <c r="L109" s="97">
        <v>2</v>
      </c>
      <c r="M109" s="97"/>
      <c r="N109" s="97"/>
      <c r="O109" s="97"/>
      <c r="P109" s="97"/>
      <c r="Q109" s="142"/>
    </row>
    <row r="110" spans="2:17" ht="21" customHeight="1">
      <c r="B110" s="161" t="s">
        <v>124</v>
      </c>
      <c r="C110" s="162"/>
      <c r="D110" s="163" t="s">
        <v>125</v>
      </c>
      <c r="E110" s="97">
        <v>2010</v>
      </c>
      <c r="F110" s="81" t="s">
        <v>21</v>
      </c>
      <c r="G110" s="98">
        <v>216</v>
      </c>
      <c r="H110" s="98">
        <v>49516670</v>
      </c>
      <c r="I110" s="99">
        <f t="shared" si="1"/>
        <v>4.362167326680086</v>
      </c>
      <c r="J110" s="97"/>
      <c r="K110" s="97">
        <v>1</v>
      </c>
      <c r="L110" s="97">
        <v>3</v>
      </c>
      <c r="M110" s="97">
        <v>4</v>
      </c>
      <c r="N110" s="97"/>
      <c r="O110" s="97"/>
      <c r="P110" s="97">
        <v>2</v>
      </c>
      <c r="Q110" s="100"/>
    </row>
    <row r="111" spans="2:17" ht="21" customHeight="1">
      <c r="B111" s="202" t="s">
        <v>126</v>
      </c>
      <c r="C111" s="203"/>
      <c r="D111" s="203"/>
      <c r="E111" s="203"/>
      <c r="F111" s="203"/>
      <c r="G111" s="203"/>
      <c r="H111" s="203"/>
      <c r="I111" s="203"/>
      <c r="J111" s="203"/>
      <c r="K111" s="203"/>
      <c r="L111" s="203"/>
      <c r="M111" s="203"/>
      <c r="N111" s="203"/>
      <c r="O111" s="203"/>
      <c r="P111" s="203"/>
      <c r="Q111" s="204"/>
    </row>
    <row r="112" spans="2:17" ht="21" customHeight="1">
      <c r="B112" s="167" t="s">
        <v>127</v>
      </c>
      <c r="C112" s="168"/>
      <c r="D112" s="140" t="s">
        <v>20</v>
      </c>
      <c r="E112" s="80">
        <v>2010</v>
      </c>
      <c r="F112" s="160" t="s">
        <v>21</v>
      </c>
      <c r="G112" s="82">
        <v>123</v>
      </c>
      <c r="H112" s="82">
        <f>1000*6854.432</f>
        <v>6854432</v>
      </c>
      <c r="I112" s="83">
        <f>1000000*G112/H112</f>
        <v>17.944594096199364</v>
      </c>
      <c r="J112" s="80">
        <v>3</v>
      </c>
      <c r="K112" s="80">
        <v>1</v>
      </c>
      <c r="L112" s="80"/>
      <c r="M112" s="80">
        <v>3</v>
      </c>
      <c r="N112" s="80">
        <v>3</v>
      </c>
      <c r="O112" s="80"/>
      <c r="P112" s="80">
        <v>2</v>
      </c>
      <c r="Q112" s="84">
        <f>15/123</f>
        <v>0.12195121951219512</v>
      </c>
    </row>
    <row r="113" spans="2:17" ht="21" customHeight="1">
      <c r="B113" s="169" t="s">
        <v>128</v>
      </c>
      <c r="C113" s="170"/>
      <c r="D113" s="140" t="s">
        <v>20</v>
      </c>
      <c r="E113" s="88">
        <v>2009</v>
      </c>
      <c r="F113" s="93" t="s">
        <v>21</v>
      </c>
      <c r="G113" s="89">
        <v>45</v>
      </c>
      <c r="H113" s="89">
        <f>1000*2591.294</f>
        <v>2591294</v>
      </c>
      <c r="I113" s="90">
        <f>1000000*G113/H113</f>
        <v>17.365841158895904</v>
      </c>
      <c r="J113" s="88"/>
      <c r="K113" s="88"/>
      <c r="L113" s="88"/>
      <c r="M113" s="88"/>
      <c r="N113" s="88"/>
      <c r="O113" s="88"/>
      <c r="P113" s="88"/>
      <c r="Q113" s="105">
        <f>11/45</f>
        <v>0.24444444444444444</v>
      </c>
    </row>
    <row r="114" spans="2:17" ht="21" customHeight="1">
      <c r="B114" s="169" t="s">
        <v>129</v>
      </c>
      <c r="C114" s="170"/>
      <c r="D114" s="140" t="s">
        <v>20</v>
      </c>
      <c r="E114" s="88">
        <v>2010</v>
      </c>
      <c r="F114" s="93" t="s">
        <v>21</v>
      </c>
      <c r="G114" s="89">
        <v>9263</v>
      </c>
      <c r="H114" s="89">
        <f>1000*103161.056</f>
        <v>103161056</v>
      </c>
      <c r="I114" s="90">
        <f>1000000*G114/H114</f>
        <v>89.79163609957618</v>
      </c>
      <c r="J114" s="88"/>
      <c r="K114" s="88">
        <v>1</v>
      </c>
      <c r="L114" s="88"/>
      <c r="M114" s="88"/>
      <c r="N114" s="88"/>
      <c r="O114" s="88"/>
      <c r="P114" s="88"/>
      <c r="Q114" s="105">
        <f>1197/9263</f>
        <v>0.1292237935873907</v>
      </c>
    </row>
    <row r="115" spans="2:17" ht="21" customHeight="1">
      <c r="B115" s="169" t="s">
        <v>130</v>
      </c>
      <c r="C115" s="170"/>
      <c r="D115" s="205" t="s">
        <v>93</v>
      </c>
      <c r="E115" s="88">
        <v>2010</v>
      </c>
      <c r="F115" s="93" t="s">
        <v>21</v>
      </c>
      <c r="G115" s="89">
        <v>1383</v>
      </c>
      <c r="H115" s="89">
        <f>1000*31971.793</f>
        <v>31971793</v>
      </c>
      <c r="I115" s="90">
        <f>1000000*G115/H115</f>
        <v>43.256879587578965</v>
      </c>
      <c r="J115" s="88"/>
      <c r="K115" s="88">
        <v>1</v>
      </c>
      <c r="L115" s="88"/>
      <c r="M115" s="88"/>
      <c r="N115" s="88"/>
      <c r="O115" s="88"/>
      <c r="P115" s="88"/>
      <c r="Q115" s="105"/>
    </row>
    <row r="116" spans="2:17" ht="21" customHeight="1" hidden="1">
      <c r="B116" s="206" t="s">
        <v>131</v>
      </c>
      <c r="C116" s="207"/>
      <c r="D116" s="208"/>
      <c r="E116" s="209"/>
      <c r="F116" s="58"/>
      <c r="G116" s="210"/>
      <c r="H116" s="211"/>
      <c r="I116" s="212"/>
      <c r="J116" s="213"/>
      <c r="K116" s="213"/>
      <c r="L116" s="213"/>
      <c r="M116" s="213"/>
      <c r="N116" s="213"/>
      <c r="O116" s="213"/>
      <c r="P116" s="213"/>
      <c r="Q116" s="214"/>
    </row>
    <row r="117" spans="2:9" ht="11.25" customHeight="1">
      <c r="B117" s="215"/>
      <c r="C117" s="215"/>
      <c r="D117" s="215"/>
      <c r="I117" s="216"/>
    </row>
    <row r="118" spans="2:17" ht="18" customHeight="1">
      <c r="B118" s="217" t="s">
        <v>132</v>
      </c>
      <c r="C118" s="217"/>
      <c r="D118" s="217"/>
      <c r="E118" s="217"/>
      <c r="F118" s="217"/>
      <c r="G118" s="217"/>
      <c r="H118" s="217"/>
      <c r="I118" s="217"/>
      <c r="J118" s="217"/>
      <c r="K118" s="217"/>
      <c r="L118" s="217"/>
      <c r="M118" s="217"/>
      <c r="N118" s="217"/>
      <c r="O118" s="217"/>
      <c r="P118" s="217"/>
      <c r="Q118" s="217"/>
    </row>
    <row r="119" spans="2:9" ht="9.75" customHeight="1">
      <c r="B119" s="215"/>
      <c r="C119" s="215"/>
      <c r="D119" s="215"/>
      <c r="I119" s="216"/>
    </row>
    <row r="120" spans="2:3" ht="18" customHeight="1">
      <c r="B120" s="217" t="s">
        <v>133</v>
      </c>
      <c r="C120" s="217"/>
    </row>
    <row r="121" spans="2:17" ht="18" customHeight="1">
      <c r="B121" s="217" t="s">
        <v>134</v>
      </c>
      <c r="C121" s="217"/>
      <c r="D121" s="217"/>
      <c r="E121" s="217"/>
      <c r="F121" s="217"/>
      <c r="G121" s="217"/>
      <c r="H121" s="217"/>
      <c r="I121" s="217"/>
      <c r="J121" s="217"/>
      <c r="K121" s="217"/>
      <c r="L121" s="217"/>
      <c r="M121" s="217"/>
      <c r="N121" s="217"/>
      <c r="O121" s="217"/>
      <c r="P121" s="217"/>
      <c r="Q121" s="217"/>
    </row>
    <row r="122" spans="2:17" ht="18" customHeight="1">
      <c r="B122" s="217"/>
      <c r="C122" s="217"/>
      <c r="D122" s="217"/>
      <c r="E122" s="217"/>
      <c r="F122" s="217"/>
      <c r="G122" s="217"/>
      <c r="H122" s="217"/>
      <c r="I122" s="217"/>
      <c r="J122" s="217"/>
      <c r="K122" s="217"/>
      <c r="L122" s="217"/>
      <c r="M122" s="217"/>
      <c r="N122" s="217"/>
      <c r="O122" s="217"/>
      <c r="P122" s="217"/>
      <c r="Q122" s="217"/>
    </row>
    <row r="123" ht="18" customHeight="1"/>
    <row r="124" spans="2:17" ht="8.25" customHeight="1">
      <c r="B124" s="218"/>
      <c r="C124" s="218"/>
      <c r="D124" s="218"/>
      <c r="E124" s="218"/>
      <c r="F124" s="218"/>
      <c r="G124" s="218"/>
      <c r="H124" s="218"/>
      <c r="I124" s="218"/>
      <c r="J124" s="218"/>
      <c r="K124" s="218"/>
      <c r="L124" s="218"/>
      <c r="M124" s="218"/>
      <c r="N124" s="218"/>
      <c r="O124" s="218"/>
      <c r="P124" s="218"/>
      <c r="Q124" s="218"/>
    </row>
    <row r="125" spans="2:17" ht="18" customHeight="1">
      <c r="B125" s="217" t="s">
        <v>135</v>
      </c>
      <c r="C125" s="217"/>
      <c r="D125" s="217"/>
      <c r="E125" s="217"/>
      <c r="F125" s="217"/>
      <c r="G125" s="217"/>
      <c r="H125" s="217"/>
      <c r="I125" s="217"/>
      <c r="J125" s="217"/>
      <c r="K125" s="217"/>
      <c r="L125" s="217"/>
      <c r="M125" s="217"/>
      <c r="N125" s="217"/>
      <c r="O125" s="217"/>
      <c r="P125" s="217"/>
      <c r="Q125" s="217"/>
    </row>
    <row r="126" spans="2:17" ht="18" customHeight="1">
      <c r="B126" s="217" t="s">
        <v>136</v>
      </c>
      <c r="C126" s="217"/>
      <c r="D126" s="217"/>
      <c r="E126" s="217"/>
      <c r="F126" s="217"/>
      <c r="G126" s="217"/>
      <c r="H126" s="217"/>
      <c r="I126" s="217"/>
      <c r="J126" s="217"/>
      <c r="K126" s="217"/>
      <c r="L126" s="217"/>
      <c r="M126" s="217"/>
      <c r="N126" s="217"/>
      <c r="O126" s="217"/>
      <c r="P126" s="217"/>
      <c r="Q126" s="217"/>
    </row>
    <row r="127" ht="18" customHeight="1"/>
    <row r="128" spans="2:17" ht="18" customHeight="1">
      <c r="B128" s="217"/>
      <c r="C128" s="217"/>
      <c r="D128" s="217"/>
      <c r="E128" s="217"/>
      <c r="F128" s="217"/>
      <c r="G128" s="217"/>
      <c r="H128" s="217"/>
      <c r="I128" s="217"/>
      <c r="J128" s="217"/>
      <c r="K128" s="217"/>
      <c r="L128" s="217"/>
      <c r="M128" s="217"/>
      <c r="N128" s="217"/>
      <c r="O128" s="217"/>
      <c r="P128" s="217"/>
      <c r="Q128" s="217"/>
    </row>
    <row r="129" ht="20.25">
      <c r="Q129" s="219"/>
    </row>
    <row r="131" ht="20.25">
      <c r="I131" s="220"/>
    </row>
    <row r="132" ht="20.25">
      <c r="H132" s="221"/>
    </row>
    <row r="134" ht="20.25">
      <c r="I134" s="222"/>
    </row>
    <row r="137" ht="20.25">
      <c r="G137" s="221"/>
    </row>
  </sheetData>
  <sheetProtection/>
  <mergeCells count="129">
    <mergeCell ref="D3:D5"/>
    <mergeCell ref="F26:G26"/>
    <mergeCell ref="B71:C71"/>
    <mergeCell ref="B78:C78"/>
    <mergeCell ref="B49:C49"/>
    <mergeCell ref="B53:C53"/>
    <mergeCell ref="B72:C72"/>
    <mergeCell ref="B73:C73"/>
    <mergeCell ref="B70:Q70"/>
    <mergeCell ref="B66:Q66"/>
    <mergeCell ref="B79:C79"/>
    <mergeCell ref="B74:C74"/>
    <mergeCell ref="B75:C75"/>
    <mergeCell ref="B76:C76"/>
    <mergeCell ref="B77:C77"/>
    <mergeCell ref="B65:Q65"/>
    <mergeCell ref="B68:Q68"/>
    <mergeCell ref="B69:Q69"/>
    <mergeCell ref="B67:C67"/>
    <mergeCell ref="B34:Q34"/>
    <mergeCell ref="B36:C36"/>
    <mergeCell ref="B33:Q33"/>
    <mergeCell ref="B35:Q35"/>
    <mergeCell ref="F3:F5"/>
    <mergeCell ref="Q3:Q5"/>
    <mergeCell ref="G3:G5"/>
    <mergeCell ref="H3:H5"/>
    <mergeCell ref="M4:M5"/>
    <mergeCell ref="N4:N5"/>
    <mergeCell ref="O4:O5"/>
    <mergeCell ref="P4:P5"/>
    <mergeCell ref="B11:C11"/>
    <mergeCell ref="B47:C47"/>
    <mergeCell ref="B6:Q6"/>
    <mergeCell ref="B13:C13"/>
    <mergeCell ref="B30:C30"/>
    <mergeCell ref="B28:Q28"/>
    <mergeCell ref="B8:C8"/>
    <mergeCell ref="B41:C41"/>
    <mergeCell ref="B43:C43"/>
    <mergeCell ref="B44:C44"/>
    <mergeCell ref="B7:Q7"/>
    <mergeCell ref="B21:Q21"/>
    <mergeCell ref="B38:C38"/>
    <mergeCell ref="B40:C40"/>
    <mergeCell ref="B9:C9"/>
    <mergeCell ref="B10:C10"/>
    <mergeCell ref="B27:Q27"/>
    <mergeCell ref="B25:C25"/>
    <mergeCell ref="B23:C23"/>
    <mergeCell ref="B22:C22"/>
    <mergeCell ref="B80:C80"/>
    <mergeCell ref="B81:C81"/>
    <mergeCell ref="B14:C14"/>
    <mergeCell ref="B15:C15"/>
    <mergeCell ref="B17:C17"/>
    <mergeCell ref="B24:C24"/>
    <mergeCell ref="B45:C45"/>
    <mergeCell ref="B60:C60"/>
    <mergeCell ref="B57:C57"/>
    <mergeCell ref="B62:C62"/>
    <mergeCell ref="E3:E5"/>
    <mergeCell ref="B18:C18"/>
    <mergeCell ref="B12:Q12"/>
    <mergeCell ref="B16:Q16"/>
    <mergeCell ref="B3:C5"/>
    <mergeCell ref="I3:I5"/>
    <mergeCell ref="J3:P3"/>
    <mergeCell ref="J4:J5"/>
    <mergeCell ref="K4:K5"/>
    <mergeCell ref="L4:L5"/>
    <mergeCell ref="B82:C82"/>
    <mergeCell ref="B83:C83"/>
    <mergeCell ref="B84:C84"/>
    <mergeCell ref="B85:C85"/>
    <mergeCell ref="B64:C64"/>
    <mergeCell ref="B61:Q61"/>
    <mergeCell ref="B42:Q42"/>
    <mergeCell ref="B48:C48"/>
    <mergeCell ref="B51:C51"/>
    <mergeCell ref="B86:C86"/>
    <mergeCell ref="B87:C87"/>
    <mergeCell ref="B88:C88"/>
    <mergeCell ref="B89:C89"/>
    <mergeCell ref="B90:C90"/>
    <mergeCell ref="B92:C92"/>
    <mergeCell ref="B107:C107"/>
    <mergeCell ref="B120:C120"/>
    <mergeCell ref="B110:C110"/>
    <mergeCell ref="B113:C113"/>
    <mergeCell ref="B114:C114"/>
    <mergeCell ref="B116:C116"/>
    <mergeCell ref="B111:Q111"/>
    <mergeCell ref="B101:C101"/>
    <mergeCell ref="B128:Q128"/>
    <mergeCell ref="B125:Q125"/>
    <mergeCell ref="B124:Q124"/>
    <mergeCell ref="B118:Q118"/>
    <mergeCell ref="B126:Q126"/>
    <mergeCell ref="B122:Q122"/>
    <mergeCell ref="B103:C103"/>
    <mergeCell ref="B102:Q102"/>
    <mergeCell ref="B112:C112"/>
    <mergeCell ref="B115:C115"/>
    <mergeCell ref="B104:C104"/>
    <mergeCell ref="B109:C109"/>
    <mergeCell ref="B105:C105"/>
    <mergeCell ref="B106:C106"/>
    <mergeCell ref="B108:C108"/>
    <mergeCell ref="B1:Q1"/>
    <mergeCell ref="B63:C63"/>
    <mergeCell ref="B29:Q29"/>
    <mergeCell ref="B31:Q31"/>
    <mergeCell ref="B32:C32"/>
    <mergeCell ref="B56:C56"/>
    <mergeCell ref="B46:C46"/>
    <mergeCell ref="B50:C50"/>
    <mergeCell ref="B54:Q54"/>
    <mergeCell ref="B55:C55"/>
    <mergeCell ref="B93:C93"/>
    <mergeCell ref="B94:C94"/>
    <mergeCell ref="B91:C91"/>
    <mergeCell ref="B121:Q121"/>
    <mergeCell ref="B99:C99"/>
    <mergeCell ref="B100:C100"/>
    <mergeCell ref="B95:C95"/>
    <mergeCell ref="B96:C96"/>
    <mergeCell ref="B97:C97"/>
    <mergeCell ref="B98:C98"/>
  </mergeCells>
  <printOptions/>
  <pageMargins left="0.4" right="0.32" top="0.43" bottom="0.22" header="0.31" footer="0.15"/>
  <pageSetup fitToHeight="1" fitToWidth="1" horizontalDpi="600" verticalDpi="600" orientation="portrait" paperSize="9" scale="30" r:id="rId1"/>
  <rowBreaks count="1" manualBreakCount="1">
    <brk id="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Umid</dc:creator>
  <cp:keywords/>
  <dc:description/>
  <cp:lastModifiedBy>Umid</cp:lastModifiedBy>
  <cp:lastPrinted>2012-08-27T14:09:15Z</cp:lastPrinted>
  <dcterms:created xsi:type="dcterms:W3CDTF">2012-08-27T14:08:14Z</dcterms:created>
  <dcterms:modified xsi:type="dcterms:W3CDTF">2012-08-27T14:09:38Z</dcterms:modified>
  <cp:category/>
  <cp:version/>
  <cp:contentType/>
  <cp:contentStatus/>
</cp:coreProperties>
</file>